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075" activeTab="3"/>
  </bookViews>
  <sheets>
    <sheet name="Лист1Новосибирский" sheetId="1" r:id="rId1"/>
    <sheet name="Лист2Новосибирский" sheetId="2" r:id="rId2"/>
    <sheet name="Лист1Итог23" sheetId="7" r:id="rId3"/>
    <sheet name="Лист2Итог23" sheetId="8" r:id="rId4"/>
  </sheets>
  <externalReferences>
    <externalReference r:id="rId5"/>
    <externalReference r:id="rId6"/>
    <externalReference r:id="rId7"/>
  </externalReferences>
  <definedNames>
    <definedName name="_xlnm.Print_Titles" localSheetId="2">Лист1Итог23!$A:$A</definedName>
    <definedName name="_xlnm.Print_Titles" localSheetId="3">Лист2Итог23!$A:$A</definedName>
    <definedName name="_xlnm.Print_Area" localSheetId="2">Лист1Итог23!$A$1:$AN$48</definedName>
    <definedName name="_xlnm.Print_Area" localSheetId="0">Лист1Новосибирский!$A$1:$T$80</definedName>
    <definedName name="_xlnm.Print_Area" localSheetId="3">Лист2Итог23!$A$1:$BF$47</definedName>
    <definedName name="_xlnm.Print_Area" localSheetId="1">Лист2Новосибирский!$A$3:$T$70</definedName>
  </definedNames>
  <calcPr calcId="145621"/>
</workbook>
</file>

<file path=xl/calcChain.xml><?xml version="1.0" encoding="utf-8"?>
<calcChain xmlns="http://schemas.openxmlformats.org/spreadsheetml/2006/main">
  <c r="A18" i="2" l="1"/>
  <c r="E18" i="2"/>
  <c r="D18" i="2"/>
  <c r="BF31" i="8" l="1"/>
  <c r="AM31" i="8"/>
  <c r="AM46" i="8" s="1"/>
  <c r="T31" i="8"/>
  <c r="T46" i="8" s="1"/>
  <c r="BF46" i="8"/>
  <c r="B47" i="8"/>
  <c r="B45" i="8"/>
  <c r="A42" i="8"/>
  <c r="A41" i="8"/>
  <c r="A40" i="8"/>
  <c r="A39" i="8"/>
  <c r="A38" i="8"/>
  <c r="A37" i="8"/>
  <c r="A36" i="8"/>
  <c r="A35" i="8"/>
  <c r="A33" i="8"/>
  <c r="A32" i="8"/>
  <c r="A31" i="8"/>
  <c r="A30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M5" i="8"/>
  <c r="T5" i="8"/>
  <c r="AA7" i="7"/>
  <c r="N7" i="7"/>
  <c r="A66" i="2" l="1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19" i="2"/>
  <c r="A16" i="2"/>
  <c r="A15" i="2"/>
  <c r="A14" i="2"/>
  <c r="K70" i="2" l="1"/>
  <c r="J70" i="2"/>
  <c r="K68" i="2"/>
  <c r="J68" i="2"/>
  <c r="Q67" i="2"/>
  <c r="P67" i="2"/>
  <c r="O67" i="2"/>
  <c r="AH31" i="8" s="1"/>
  <c r="AH46" i="8" s="1"/>
  <c r="N67" i="2"/>
  <c r="M67" i="2"/>
  <c r="AF31" i="8" s="1"/>
  <c r="AF46" i="8" s="1"/>
  <c r="L67" i="2"/>
  <c r="AE31" i="8" s="1"/>
  <c r="AE46" i="8" s="1"/>
  <c r="I67" i="2"/>
  <c r="H67" i="2"/>
  <c r="K65" i="2"/>
  <c r="J65" i="2"/>
  <c r="C65" i="2"/>
  <c r="B65" i="2"/>
  <c r="K64" i="2"/>
  <c r="J64" i="2"/>
  <c r="E64" i="2"/>
  <c r="C64" i="2" s="1"/>
  <c r="D64" i="2"/>
  <c r="B64" i="2" s="1"/>
  <c r="G63" i="2"/>
  <c r="C63" i="2" s="1"/>
  <c r="B63" i="2"/>
  <c r="G62" i="2"/>
  <c r="F62" i="2"/>
  <c r="E62" i="2"/>
  <c r="C62" i="2" s="1"/>
  <c r="D62" i="2"/>
  <c r="K61" i="2"/>
  <c r="G61" i="2" s="1"/>
  <c r="J61" i="2"/>
  <c r="F61" i="2" s="1"/>
  <c r="E61" i="2"/>
  <c r="D61" i="2"/>
  <c r="K60" i="2"/>
  <c r="J60" i="2"/>
  <c r="C60" i="2"/>
  <c r="B60" i="2"/>
  <c r="K59" i="2"/>
  <c r="J59" i="2"/>
  <c r="G59" i="2"/>
  <c r="F59" i="2"/>
  <c r="E59" i="2"/>
  <c r="C59" i="2" s="1"/>
  <c r="D59" i="2"/>
  <c r="B59" i="2" s="1"/>
  <c r="K58" i="2"/>
  <c r="J58" i="2"/>
  <c r="G58" i="2"/>
  <c r="F58" i="2"/>
  <c r="E58" i="2"/>
  <c r="C58" i="2" s="1"/>
  <c r="D58" i="2"/>
  <c r="B58" i="2" s="1"/>
  <c r="K57" i="2"/>
  <c r="J57" i="2"/>
  <c r="C57" i="2"/>
  <c r="B57" i="2"/>
  <c r="K56" i="2"/>
  <c r="J56" i="2"/>
  <c r="C56" i="2"/>
  <c r="B56" i="2"/>
  <c r="K55" i="2"/>
  <c r="J55" i="2"/>
  <c r="E55" i="2"/>
  <c r="C55" i="2" s="1"/>
  <c r="D55" i="2"/>
  <c r="B55" i="2" s="1"/>
  <c r="K54" i="2"/>
  <c r="J54" i="2"/>
  <c r="C54" i="2"/>
  <c r="B54" i="2"/>
  <c r="K53" i="2"/>
  <c r="J53" i="2"/>
  <c r="E53" i="2"/>
  <c r="C53" i="2" s="1"/>
  <c r="B53" i="2"/>
  <c r="K52" i="2"/>
  <c r="J52" i="2"/>
  <c r="C52" i="2"/>
  <c r="B52" i="2"/>
  <c r="K51" i="2"/>
  <c r="J51" i="2"/>
  <c r="G51" i="2"/>
  <c r="C51" i="2" s="1"/>
  <c r="F51" i="2"/>
  <c r="B51" i="2" s="1"/>
  <c r="K50" i="2"/>
  <c r="J50" i="2"/>
  <c r="G50" i="2"/>
  <c r="C50" i="2" s="1"/>
  <c r="B50" i="2"/>
  <c r="K49" i="2"/>
  <c r="J49" i="2"/>
  <c r="E49" i="2"/>
  <c r="C49" i="2" s="1"/>
  <c r="B49" i="2"/>
  <c r="K48" i="2"/>
  <c r="J48" i="2"/>
  <c r="E48" i="2"/>
  <c r="C48" i="2" s="1"/>
  <c r="B48" i="2"/>
  <c r="K47" i="2"/>
  <c r="J47" i="2"/>
  <c r="E47" i="2"/>
  <c r="C47" i="2" s="1"/>
  <c r="D47" i="2"/>
  <c r="B47" i="2" s="1"/>
  <c r="K46" i="2"/>
  <c r="J46" i="2"/>
  <c r="E46" i="2"/>
  <c r="C46" i="2" s="1"/>
  <c r="B46" i="2"/>
  <c r="C45" i="2"/>
  <c r="B45" i="2"/>
  <c r="K44" i="2"/>
  <c r="J44" i="2"/>
  <c r="E44" i="2"/>
  <c r="C44" i="2" s="1"/>
  <c r="B44" i="2"/>
  <c r="K43" i="2"/>
  <c r="J43" i="2"/>
  <c r="C43" i="2"/>
  <c r="B43" i="2"/>
  <c r="K42" i="2"/>
  <c r="J42" i="2"/>
  <c r="E42" i="2"/>
  <c r="C42" i="2" s="1"/>
  <c r="B42" i="2"/>
  <c r="K41" i="2"/>
  <c r="J41" i="2"/>
  <c r="G41" i="2"/>
  <c r="F41" i="2"/>
  <c r="E41" i="2"/>
  <c r="C41" i="2" s="1"/>
  <c r="D41" i="2"/>
  <c r="B41" i="2" s="1"/>
  <c r="K40" i="2"/>
  <c r="J40" i="2"/>
  <c r="E40" i="2"/>
  <c r="C40" i="2" s="1"/>
  <c r="B40" i="2"/>
  <c r="K39" i="2"/>
  <c r="J39" i="2"/>
  <c r="C39" i="2"/>
  <c r="B39" i="2"/>
  <c r="K38" i="2"/>
  <c r="J38" i="2"/>
  <c r="C38" i="2"/>
  <c r="B38" i="2"/>
  <c r="K37" i="2"/>
  <c r="J37" i="2"/>
  <c r="G37" i="2"/>
  <c r="F37" i="2"/>
  <c r="E37" i="2"/>
  <c r="D37" i="2"/>
  <c r="B37" i="2" s="1"/>
  <c r="K36" i="2"/>
  <c r="J36" i="2"/>
  <c r="C36" i="2"/>
  <c r="B36" i="2"/>
  <c r="K35" i="2"/>
  <c r="J35" i="2"/>
  <c r="C35" i="2"/>
  <c r="B35" i="2"/>
  <c r="K34" i="2"/>
  <c r="J34" i="2"/>
  <c r="C34" i="2"/>
  <c r="B34" i="2"/>
  <c r="K33" i="2"/>
  <c r="J33" i="2"/>
  <c r="G33" i="2"/>
  <c r="F33" i="2"/>
  <c r="E33" i="2"/>
  <c r="C33" i="2" s="1"/>
  <c r="D33" i="2"/>
  <c r="K32" i="2"/>
  <c r="J32" i="2"/>
  <c r="E32" i="2"/>
  <c r="C32" i="2" s="1"/>
  <c r="B32" i="2"/>
  <c r="K31" i="2"/>
  <c r="J31" i="2"/>
  <c r="E31" i="2"/>
  <c r="C31" i="2" s="1"/>
  <c r="B31" i="2"/>
  <c r="C30" i="2"/>
  <c r="B30" i="2"/>
  <c r="K29" i="2"/>
  <c r="J29" i="2"/>
  <c r="K28" i="2"/>
  <c r="J28" i="2"/>
  <c r="G28" i="2"/>
  <c r="F28" i="2"/>
  <c r="E28" i="2"/>
  <c r="C28" i="2" s="1"/>
  <c r="D28" i="2"/>
  <c r="K27" i="2"/>
  <c r="J27" i="2"/>
  <c r="E27" i="2"/>
  <c r="C27" i="2" s="1"/>
  <c r="B27" i="2"/>
  <c r="K26" i="2"/>
  <c r="J26" i="2"/>
  <c r="E26" i="2"/>
  <c r="C26" i="2" s="1"/>
  <c r="B26" i="2"/>
  <c r="S25" i="2"/>
  <c r="S67" i="2" s="1"/>
  <c r="R25" i="2"/>
  <c r="R67" i="2" s="1"/>
  <c r="E25" i="2"/>
  <c r="B25" i="2"/>
  <c r="K24" i="2"/>
  <c r="J24" i="2"/>
  <c r="C24" i="2"/>
  <c r="B24" i="2"/>
  <c r="K23" i="2"/>
  <c r="J23" i="2"/>
  <c r="C23" i="2"/>
  <c r="B23" i="2"/>
  <c r="K22" i="2"/>
  <c r="J22" i="2"/>
  <c r="C22" i="2"/>
  <c r="B22" i="2"/>
  <c r="S20" i="2"/>
  <c r="S31" i="8" s="1"/>
  <c r="S46" i="8" s="1"/>
  <c r="R20" i="2"/>
  <c r="R31" i="8" s="1"/>
  <c r="R46" i="8" s="1"/>
  <c r="Q20" i="2"/>
  <c r="Q31" i="8" s="1"/>
  <c r="Q46" i="8" s="1"/>
  <c r="P20" i="2"/>
  <c r="P31" i="8" s="1"/>
  <c r="P46" i="8" s="1"/>
  <c r="I20" i="2"/>
  <c r="I31" i="8" s="1"/>
  <c r="I46" i="8" s="1"/>
  <c r="H20" i="2"/>
  <c r="H31" i="8" s="1"/>
  <c r="H46" i="8" s="1"/>
  <c r="K19" i="2"/>
  <c r="J19" i="2"/>
  <c r="G19" i="2"/>
  <c r="C19" i="2"/>
  <c r="B19" i="2"/>
  <c r="O18" i="2"/>
  <c r="O20" i="2" s="1"/>
  <c r="O31" i="8" s="1"/>
  <c r="O46" i="8" s="1"/>
  <c r="N18" i="2"/>
  <c r="N20" i="2" s="1"/>
  <c r="N31" i="8" s="1"/>
  <c r="N46" i="8" s="1"/>
  <c r="M18" i="2"/>
  <c r="L18" i="2"/>
  <c r="J18" i="2" s="1"/>
  <c r="G18" i="2"/>
  <c r="C18" i="2"/>
  <c r="B18" i="2"/>
  <c r="M17" i="2"/>
  <c r="L17" i="2"/>
  <c r="J17" i="2" s="1"/>
  <c r="K17" i="2"/>
  <c r="G17" i="2"/>
  <c r="G20" i="2" s="1"/>
  <c r="G31" i="8" s="1"/>
  <c r="G46" i="8" s="1"/>
  <c r="F17" i="2"/>
  <c r="B17" i="2" s="1"/>
  <c r="C17" i="2"/>
  <c r="M16" i="2"/>
  <c r="K16" i="2" s="1"/>
  <c r="L16" i="2"/>
  <c r="L20" i="2" s="1"/>
  <c r="L31" i="8" s="1"/>
  <c r="L46" i="8" s="1"/>
  <c r="E16" i="2"/>
  <c r="D16" i="2"/>
  <c r="D20" i="2" s="1"/>
  <c r="D31" i="8" s="1"/>
  <c r="D46" i="8" s="1"/>
  <c r="C16" i="2"/>
  <c r="C15" i="2"/>
  <c r="B15" i="2"/>
  <c r="K14" i="2"/>
  <c r="J14" i="2"/>
  <c r="E14" i="2"/>
  <c r="B14" i="2"/>
  <c r="P77" i="1"/>
  <c r="X32" i="7" s="1"/>
  <c r="X47" i="7" s="1"/>
  <c r="O77" i="1"/>
  <c r="W32" i="7" s="1"/>
  <c r="W47" i="7" s="1"/>
  <c r="M77" i="1"/>
  <c r="U32" i="7" s="1"/>
  <c r="U47" i="7" s="1"/>
  <c r="H76" i="1"/>
  <c r="G76" i="1"/>
  <c r="H75" i="1"/>
  <c r="R75" i="1" s="1"/>
  <c r="G75" i="1"/>
  <c r="I74" i="1"/>
  <c r="H74" i="1" s="1"/>
  <c r="Q74" i="1" s="1"/>
  <c r="G74" i="1"/>
  <c r="H73" i="1"/>
  <c r="G73" i="1"/>
  <c r="H72" i="1"/>
  <c r="G72" i="1"/>
  <c r="Q71" i="1"/>
  <c r="I71" i="1"/>
  <c r="H71" i="1" s="1"/>
  <c r="G71" i="1"/>
  <c r="H70" i="1"/>
  <c r="R70" i="1" s="1"/>
  <c r="G70" i="1"/>
  <c r="H69" i="1"/>
  <c r="G69" i="1"/>
  <c r="H68" i="1"/>
  <c r="R68" i="1" s="1"/>
  <c r="G68" i="1"/>
  <c r="H66" i="1"/>
  <c r="Q66" i="1" s="1"/>
  <c r="G66" i="1"/>
  <c r="S65" i="1"/>
  <c r="H65" i="1"/>
  <c r="G65" i="1"/>
  <c r="H64" i="1"/>
  <c r="Q64" i="1" s="1"/>
  <c r="G64" i="1"/>
  <c r="H63" i="1"/>
  <c r="Q63" i="1" s="1"/>
  <c r="G63" i="1"/>
  <c r="H62" i="1"/>
  <c r="R62" i="1" s="1"/>
  <c r="G62" i="1"/>
  <c r="H61" i="1"/>
  <c r="R61" i="1" s="1"/>
  <c r="G61" i="1"/>
  <c r="H60" i="1"/>
  <c r="R60" i="1" s="1"/>
  <c r="G60" i="1"/>
  <c r="G59" i="1"/>
  <c r="L59" i="1" s="1"/>
  <c r="H59" i="1" s="1"/>
  <c r="R59" i="1" s="1"/>
  <c r="H58" i="1"/>
  <c r="R58" i="1" s="1"/>
  <c r="G58" i="1"/>
  <c r="H57" i="1"/>
  <c r="R57" i="1" s="1"/>
  <c r="G57" i="1"/>
  <c r="H56" i="1"/>
  <c r="S56" i="1" s="1"/>
  <c r="G56" i="1"/>
  <c r="K55" i="1"/>
  <c r="H55" i="1" s="1"/>
  <c r="R55" i="1" s="1"/>
  <c r="G55" i="1"/>
  <c r="L54" i="1"/>
  <c r="K54" i="1"/>
  <c r="H54" i="1" s="1"/>
  <c r="R54" i="1" s="1"/>
  <c r="G54" i="1"/>
  <c r="H53" i="1"/>
  <c r="R53" i="1" s="1"/>
  <c r="G53" i="1"/>
  <c r="H52" i="1"/>
  <c r="Q52" i="1" s="1"/>
  <c r="G52" i="1"/>
  <c r="H51" i="1"/>
  <c r="R51" i="1" s="1"/>
  <c r="G51" i="1"/>
  <c r="H50" i="1"/>
  <c r="Q50" i="1" s="1"/>
  <c r="G50" i="1"/>
  <c r="H49" i="1"/>
  <c r="R49" i="1" s="1"/>
  <c r="G49" i="1"/>
  <c r="H48" i="1"/>
  <c r="R48" i="1" s="1"/>
  <c r="G48" i="1"/>
  <c r="H47" i="1"/>
  <c r="R47" i="1" s="1"/>
  <c r="G47" i="1"/>
  <c r="H46" i="1"/>
  <c r="R46" i="1" s="1"/>
  <c r="G46" i="1"/>
  <c r="H45" i="1"/>
  <c r="R45" i="1" s="1"/>
  <c r="G45" i="1"/>
  <c r="H44" i="1"/>
  <c r="R44" i="1" s="1"/>
  <c r="G44" i="1"/>
  <c r="L43" i="1"/>
  <c r="G43" i="1"/>
  <c r="H42" i="1"/>
  <c r="R42" i="1" s="1"/>
  <c r="G42" i="1"/>
  <c r="L41" i="1"/>
  <c r="K41" i="1"/>
  <c r="G41" i="1"/>
  <c r="G39" i="1"/>
  <c r="L39" i="1" s="1"/>
  <c r="H39" i="1" s="1"/>
  <c r="R39" i="1" s="1"/>
  <c r="K38" i="1"/>
  <c r="J38" i="1"/>
  <c r="G38" i="1"/>
  <c r="K36" i="1"/>
  <c r="G36" i="1"/>
  <c r="H34" i="1"/>
  <c r="R34" i="1" s="1"/>
  <c r="G34" i="1"/>
  <c r="H33" i="1"/>
  <c r="R33" i="1" s="1"/>
  <c r="G33" i="1"/>
  <c r="H32" i="1"/>
  <c r="R32" i="1" s="1"/>
  <c r="G32" i="1"/>
  <c r="J31" i="1"/>
  <c r="G31" i="1"/>
  <c r="J30" i="1"/>
  <c r="G30" i="1"/>
  <c r="J29" i="1"/>
  <c r="G29" i="1"/>
  <c r="K28" i="1"/>
  <c r="H28" i="1" s="1"/>
  <c r="R28" i="1" s="1"/>
  <c r="G28" i="1"/>
  <c r="J27" i="1"/>
  <c r="G27" i="1"/>
  <c r="K26" i="1"/>
  <c r="G26" i="1"/>
  <c r="H25" i="1"/>
  <c r="R25" i="1" s="1"/>
  <c r="G25" i="1"/>
  <c r="H24" i="1"/>
  <c r="G24" i="1"/>
  <c r="H23" i="1"/>
  <c r="G23" i="1"/>
  <c r="S21" i="1"/>
  <c r="N32" i="7" s="1"/>
  <c r="N47" i="7" s="1"/>
  <c r="R21" i="1"/>
  <c r="M32" i="7" s="1"/>
  <c r="M47" i="7" s="1"/>
  <c r="Q21" i="1"/>
  <c r="L32" i="7" s="1"/>
  <c r="L47" i="7" s="1"/>
  <c r="O21" i="1"/>
  <c r="J32" i="7" s="1"/>
  <c r="J47" i="7" s="1"/>
  <c r="N21" i="1"/>
  <c r="I32" i="7" s="1"/>
  <c r="I47" i="7" s="1"/>
  <c r="M21" i="1"/>
  <c r="L21" i="1"/>
  <c r="G32" i="7" s="1"/>
  <c r="G47" i="7" s="1"/>
  <c r="K21" i="1"/>
  <c r="F32" i="7" s="1"/>
  <c r="F47" i="7" s="1"/>
  <c r="I21" i="1"/>
  <c r="D32" i="7" s="1"/>
  <c r="D47" i="7" s="1"/>
  <c r="H20" i="1"/>
  <c r="G20" i="1"/>
  <c r="H18" i="1"/>
  <c r="G18" i="1"/>
  <c r="H17" i="1"/>
  <c r="P16" i="1"/>
  <c r="H16" i="1"/>
  <c r="G16" i="1"/>
  <c r="G15" i="1"/>
  <c r="J15" i="1" s="1"/>
  <c r="H15" i="1" s="1"/>
  <c r="P15" i="1" s="1"/>
  <c r="G14" i="1"/>
  <c r="J14" i="1" s="1"/>
  <c r="M20" i="2" l="1"/>
  <c r="M31" i="8" s="1"/>
  <c r="M46" i="8" s="1"/>
  <c r="R69" i="2"/>
  <c r="BD31" i="8" s="1"/>
  <c r="BD46" i="8" s="1"/>
  <c r="AK31" i="8"/>
  <c r="AK46" i="8" s="1"/>
  <c r="N69" i="2"/>
  <c r="AZ31" i="8" s="1"/>
  <c r="AZ46" i="8" s="1"/>
  <c r="AG31" i="8"/>
  <c r="AG46" i="8" s="1"/>
  <c r="S69" i="2"/>
  <c r="BE31" i="8" s="1"/>
  <c r="BE46" i="8" s="1"/>
  <c r="AL31" i="8"/>
  <c r="AL46" i="8" s="1"/>
  <c r="F67" i="2"/>
  <c r="Y31" i="8" s="1"/>
  <c r="Y46" i="8" s="1"/>
  <c r="C37" i="2"/>
  <c r="B61" i="2"/>
  <c r="I69" i="2"/>
  <c r="AU31" i="8" s="1"/>
  <c r="AU46" i="8" s="1"/>
  <c r="AB31" i="8"/>
  <c r="AB46" i="8" s="1"/>
  <c r="H69" i="2"/>
  <c r="AT31" i="8" s="1"/>
  <c r="AT46" i="8" s="1"/>
  <c r="AA31" i="8"/>
  <c r="AA46" i="8" s="1"/>
  <c r="E20" i="2"/>
  <c r="E31" i="8" s="1"/>
  <c r="E46" i="8" s="1"/>
  <c r="G67" i="2"/>
  <c r="B33" i="2"/>
  <c r="B62" i="2"/>
  <c r="P69" i="2"/>
  <c r="BB31" i="8" s="1"/>
  <c r="BB46" i="8" s="1"/>
  <c r="AI31" i="8"/>
  <c r="AI46" i="8" s="1"/>
  <c r="E67" i="2"/>
  <c r="X31" i="8" s="1"/>
  <c r="X46" i="8" s="1"/>
  <c r="D67" i="2"/>
  <c r="W31" i="8" s="1"/>
  <c r="W46" i="8" s="1"/>
  <c r="Q69" i="2"/>
  <c r="BC31" i="8" s="1"/>
  <c r="BC46" i="8" s="1"/>
  <c r="AJ31" i="8"/>
  <c r="AJ46" i="8" s="1"/>
  <c r="H38" i="1"/>
  <c r="R38" i="1" s="1"/>
  <c r="M79" i="1"/>
  <c r="AH32" i="7" s="1"/>
  <c r="AH47" i="7" s="1"/>
  <c r="H32" i="7"/>
  <c r="H47" i="7" s="1"/>
  <c r="L30" i="1"/>
  <c r="H30" i="1" s="1"/>
  <c r="R30" i="1" s="1"/>
  <c r="L31" i="1"/>
  <c r="H31" i="1" s="1"/>
  <c r="R31" i="1" s="1"/>
  <c r="L36" i="1"/>
  <c r="H36" i="1" s="1"/>
  <c r="H41" i="1"/>
  <c r="R41" i="1" s="1"/>
  <c r="J43" i="1"/>
  <c r="H43" i="1" s="1"/>
  <c r="R43" i="1" s="1"/>
  <c r="L27" i="1"/>
  <c r="H27" i="1" s="1"/>
  <c r="R27" i="1" s="1"/>
  <c r="K77" i="1"/>
  <c r="O79" i="1"/>
  <c r="AJ32" i="7" s="1"/>
  <c r="AJ47" i="7" s="1"/>
  <c r="S77" i="1"/>
  <c r="G77" i="1"/>
  <c r="O32" i="7" s="1"/>
  <c r="O47" i="7" s="1"/>
  <c r="L29" i="1"/>
  <c r="H29" i="1" s="1"/>
  <c r="R29" i="1" s="1"/>
  <c r="N66" i="1"/>
  <c r="N77" i="1" s="1"/>
  <c r="G21" i="1"/>
  <c r="B32" i="7" s="1"/>
  <c r="B47" i="7" s="1"/>
  <c r="D69" i="2"/>
  <c r="AP31" i="8" s="1"/>
  <c r="AP46" i="8" s="1"/>
  <c r="C61" i="2"/>
  <c r="O69" i="2"/>
  <c r="BA31" i="8" s="1"/>
  <c r="BA46" i="8" s="1"/>
  <c r="E69" i="2"/>
  <c r="AQ31" i="8" s="1"/>
  <c r="AQ46" i="8" s="1"/>
  <c r="L69" i="2"/>
  <c r="AX31" i="8" s="1"/>
  <c r="AX46" i="8" s="1"/>
  <c r="K18" i="2"/>
  <c r="K20" i="2" s="1"/>
  <c r="K31" i="8" s="1"/>
  <c r="K46" i="8" s="1"/>
  <c r="J25" i="2"/>
  <c r="J67" i="2" s="1"/>
  <c r="AC31" i="8" s="1"/>
  <c r="AC46" i="8" s="1"/>
  <c r="F20" i="2"/>
  <c r="C14" i="2"/>
  <c r="C20" i="2" s="1"/>
  <c r="C31" i="8" s="1"/>
  <c r="C46" i="8" s="1"/>
  <c r="B16" i="2"/>
  <c r="B20" i="2" s="1"/>
  <c r="B31" i="8" s="1"/>
  <c r="B46" i="8" s="1"/>
  <c r="J16" i="2"/>
  <c r="J20" i="2" s="1"/>
  <c r="J31" i="8" s="1"/>
  <c r="J46" i="8" s="1"/>
  <c r="K25" i="2"/>
  <c r="K67" i="2" s="1"/>
  <c r="AD31" i="8" s="1"/>
  <c r="AD46" i="8" s="1"/>
  <c r="B28" i="2"/>
  <c r="C25" i="2"/>
  <c r="Q77" i="1"/>
  <c r="H14" i="1"/>
  <c r="J21" i="1"/>
  <c r="E32" i="7" s="1"/>
  <c r="E47" i="7" s="1"/>
  <c r="I77" i="1"/>
  <c r="J77" i="1"/>
  <c r="R32" i="7" s="1"/>
  <c r="R47" i="7" s="1"/>
  <c r="H26" i="1"/>
  <c r="R26" i="1" s="1"/>
  <c r="C67" i="2" l="1"/>
  <c r="V31" i="8" s="1"/>
  <c r="V46" i="8" s="1"/>
  <c r="G69" i="2"/>
  <c r="AS31" i="8" s="1"/>
  <c r="AS46" i="8" s="1"/>
  <c r="Z31" i="8"/>
  <c r="Z46" i="8" s="1"/>
  <c r="B67" i="2"/>
  <c r="M69" i="2"/>
  <c r="AY31" i="8" s="1"/>
  <c r="AY46" i="8" s="1"/>
  <c r="F69" i="2"/>
  <c r="AR31" i="8" s="1"/>
  <c r="AR46" i="8" s="1"/>
  <c r="F31" i="8"/>
  <c r="F46" i="8" s="1"/>
  <c r="I79" i="1"/>
  <c r="AD32" i="7" s="1"/>
  <c r="AD47" i="7" s="1"/>
  <c r="Q32" i="7"/>
  <c r="Q47" i="7" s="1"/>
  <c r="S79" i="1"/>
  <c r="AN32" i="7" s="1"/>
  <c r="AN47" i="7" s="1"/>
  <c r="AA32" i="7"/>
  <c r="AA47" i="7" s="1"/>
  <c r="N79" i="1"/>
  <c r="AI32" i="7" s="1"/>
  <c r="AI47" i="7" s="1"/>
  <c r="V32" i="7"/>
  <c r="V47" i="7" s="1"/>
  <c r="Q79" i="1"/>
  <c r="AL32" i="7" s="1"/>
  <c r="AL47" i="7" s="1"/>
  <c r="Y32" i="7"/>
  <c r="Y47" i="7" s="1"/>
  <c r="K79" i="1"/>
  <c r="AF32" i="7" s="1"/>
  <c r="AF47" i="7" s="1"/>
  <c r="S32" i="7"/>
  <c r="S47" i="7" s="1"/>
  <c r="G79" i="1"/>
  <c r="AB32" i="7" s="1"/>
  <c r="AB47" i="7" s="1"/>
  <c r="L77" i="1"/>
  <c r="R77" i="1"/>
  <c r="J69" i="2"/>
  <c r="AV31" i="8" s="1"/>
  <c r="AV46" i="8" s="1"/>
  <c r="H77" i="1"/>
  <c r="P32" i="7" s="1"/>
  <c r="P47" i="7" s="1"/>
  <c r="K69" i="2"/>
  <c r="AW31" i="8" s="1"/>
  <c r="AW46" i="8" s="1"/>
  <c r="H21" i="1"/>
  <c r="C32" i="7" s="1"/>
  <c r="C47" i="7" s="1"/>
  <c r="P14" i="1"/>
  <c r="P21" i="1" s="1"/>
  <c r="J79" i="1"/>
  <c r="AE32" i="7" s="1"/>
  <c r="AE47" i="7" s="1"/>
  <c r="B69" i="2" l="1"/>
  <c r="AN31" i="8" s="1"/>
  <c r="AN46" i="8" s="1"/>
  <c r="U31" i="8"/>
  <c r="U46" i="8" s="1"/>
  <c r="C69" i="2"/>
  <c r="AO31" i="8" s="1"/>
  <c r="AO46" i="8" s="1"/>
  <c r="L79" i="1"/>
  <c r="AG32" i="7" s="1"/>
  <c r="AG47" i="7" s="1"/>
  <c r="T32" i="7"/>
  <c r="T47" i="7" s="1"/>
  <c r="R79" i="1"/>
  <c r="AM32" i="7" s="1"/>
  <c r="AM47" i="7" s="1"/>
  <c r="Z32" i="7"/>
  <c r="Z47" i="7" s="1"/>
  <c r="P79" i="1"/>
  <c r="AK32" i="7" s="1"/>
  <c r="AK47" i="7" s="1"/>
  <c r="K32" i="7"/>
  <c r="K47" i="7" s="1"/>
  <c r="H79" i="1"/>
  <c r="AC32" i="7" s="1"/>
  <c r="AC47" i="7" s="1"/>
</calcChain>
</file>

<file path=xl/comments1.xml><?xml version="1.0" encoding="utf-8"?>
<comments xmlns="http://schemas.openxmlformats.org/spreadsheetml/2006/main">
  <authors>
    <author>Макарова Флюра Явдатовна</author>
    <author>Admin</author>
    <author>Сусуева</author>
  </authors>
  <commentLis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Макарова Флюра Явдатовна:</t>
        </r>
        <r>
          <rPr>
            <sz val="9"/>
            <color indexed="81"/>
            <rFont val="Tahoma"/>
            <family val="2"/>
            <charset val="204"/>
          </rPr>
          <t xml:space="preserve">
км 11,785 - км 12,502 (0,717 км) в черте г Новосибирска</t>
        </r>
      </text>
    </comment>
    <comment ref="C20" authorId="1">
      <text>
        <r>
          <rPr>
            <b/>
            <sz val="10"/>
            <color indexed="81"/>
            <rFont val="Tahoma"/>
            <family val="2"/>
            <charset val="204"/>
          </rPr>
          <t>Макарова:</t>
        </r>
        <r>
          <rPr>
            <sz val="10"/>
            <color indexed="81"/>
            <rFont val="Tahoma"/>
            <family val="2"/>
            <charset val="204"/>
          </rPr>
          <t xml:space="preserve">
км 10,520 (0,000) - км 12,226 (1,706) км в черте г. Новосибирска, км 13,471( 2,951)-км 17,603 (7,083) - г. Обь</t>
        </r>
      </text>
    </comment>
    <comment ref="C24" authorId="1">
      <text>
        <r>
          <rPr>
            <b/>
            <sz val="10"/>
            <color indexed="81"/>
            <rFont val="Tahoma"/>
            <family val="2"/>
            <charset val="204"/>
          </rPr>
          <t>Сусуева:</t>
        </r>
        <r>
          <rPr>
            <sz val="10"/>
            <color indexed="81"/>
            <rFont val="Tahoma"/>
            <family val="2"/>
            <charset val="204"/>
          </rPr>
          <t xml:space="preserve">
0,286 км в черте г. Новосибирска</t>
        </r>
      </text>
    </comment>
    <comment ref="J27" authorId="0">
      <text>
        <r>
          <rPr>
            <b/>
            <sz val="9"/>
            <color indexed="81"/>
            <rFont val="Tahoma"/>
            <family val="2"/>
            <charset val="204"/>
          </rPr>
          <t>Макарова Флюра Явдатовна:</t>
        </r>
        <r>
          <rPr>
            <sz val="9"/>
            <color indexed="81"/>
            <rFont val="Tahoma"/>
            <family val="2"/>
            <charset val="204"/>
          </rPr>
          <t xml:space="preserve">
тип покрытия изменен по акту обследования куратора</t>
        </r>
      </text>
    </comment>
    <comment ref="C29" authorId="2">
      <text>
        <r>
          <rPr>
            <b/>
            <sz val="10"/>
            <color indexed="81"/>
            <rFont val="Tahoma"/>
            <family val="2"/>
            <charset val="204"/>
          </rPr>
          <t xml:space="preserve">Макарова:
км 27,158 - км 30,739 (3,581 км) 
в Тогучинском районе
</t>
        </r>
      </text>
    </comment>
    <comment ref="J29" authorId="0">
      <text>
        <r>
          <rPr>
            <b/>
            <sz val="9"/>
            <color indexed="81"/>
            <rFont val="Tahoma"/>
            <family val="2"/>
            <charset val="204"/>
          </rPr>
          <t>Макарова Флюра Явдатовна:</t>
        </r>
        <r>
          <rPr>
            <sz val="9"/>
            <color indexed="81"/>
            <rFont val="Tahoma"/>
            <family val="2"/>
            <charset val="204"/>
          </rPr>
          <t xml:space="preserve">
внесена корректировка на 0,777 км на 01.01.2014
</t>
        </r>
      </text>
    </comment>
    <comment ref="L31" authorId="0">
      <text>
        <r>
          <rPr>
            <b/>
            <sz val="9"/>
            <color indexed="81"/>
            <rFont val="Tahoma"/>
            <family val="2"/>
            <charset val="204"/>
          </rPr>
          <t>Макарова Флюра Явдатовна:</t>
        </r>
        <r>
          <rPr>
            <sz val="9"/>
            <color indexed="81"/>
            <rFont val="Tahoma"/>
            <family val="2"/>
            <charset val="204"/>
          </rPr>
          <t xml:space="preserve">
реконструкция 2020</t>
        </r>
      </text>
    </comment>
    <comment ref="K36" authorId="2">
      <text>
        <r>
          <rPr>
            <b/>
            <sz val="10"/>
            <color indexed="81"/>
            <rFont val="Tahoma"/>
            <family val="2"/>
            <charset val="204"/>
          </rPr>
          <t>Сусуева:</t>
        </r>
        <r>
          <rPr>
            <sz val="10"/>
            <color indexed="81"/>
            <rFont val="Tahoma"/>
            <family val="2"/>
            <charset val="204"/>
          </rPr>
          <t xml:space="preserve">
Покрытие разрушено
</t>
        </r>
      </text>
    </comment>
    <comment ref="K38" authorId="2">
      <text>
        <r>
          <rPr>
            <b/>
            <sz val="10"/>
            <color indexed="81"/>
            <rFont val="Tahoma"/>
            <family val="2"/>
            <charset val="204"/>
          </rPr>
          <t>Сусуева:</t>
        </r>
        <r>
          <rPr>
            <sz val="10"/>
            <color indexed="81"/>
            <rFont val="Tahoma"/>
            <family val="2"/>
            <charset val="204"/>
          </rPr>
          <t xml:space="preserve">
Покрытие разрушено
</t>
        </r>
      </text>
    </comment>
    <comment ref="C39" authorId="2">
      <text>
        <r>
          <rPr>
            <b/>
            <sz val="10"/>
            <color indexed="81"/>
            <rFont val="Tahoma"/>
            <family val="2"/>
            <charset val="204"/>
          </rPr>
          <t>Сусуева:</t>
        </r>
        <r>
          <rPr>
            <sz val="10"/>
            <color indexed="81"/>
            <rFont val="Tahoma"/>
            <family val="2"/>
            <charset val="204"/>
          </rPr>
          <t xml:space="preserve">
на 4 км находится металлический мост протяж.</t>
        </r>
        <r>
          <rPr>
            <sz val="10"/>
            <color indexed="81"/>
            <rFont val="Times New Roman"/>
            <family val="1"/>
            <charset val="204"/>
          </rPr>
          <t>≈</t>
        </r>
        <r>
          <rPr>
            <sz val="10"/>
            <color indexed="81"/>
            <rFont val="Tahoma"/>
            <family val="2"/>
            <charset val="204"/>
          </rPr>
          <t>111 км не наш</t>
        </r>
      </text>
    </comment>
    <comment ref="C43" authorId="1">
      <text>
        <r>
          <rPr>
            <b/>
            <sz val="10"/>
            <color indexed="81"/>
            <rFont val="Tahoma"/>
            <family val="2"/>
            <charset val="204"/>
          </rPr>
          <t>Сусуева:</t>
        </r>
        <r>
          <rPr>
            <sz val="10"/>
            <color indexed="81"/>
            <rFont val="Tahoma"/>
            <family val="2"/>
            <charset val="204"/>
          </rPr>
          <t xml:space="preserve">
0,821 км в черте г. Новосибирска</t>
        </r>
      </text>
    </comment>
    <comment ref="L43" authorId="0">
      <text>
        <r>
          <rPr>
            <b/>
            <sz val="9"/>
            <color indexed="81"/>
            <rFont val="Tahoma"/>
            <family val="2"/>
            <charset val="204"/>
          </rPr>
          <t>Макарова Флюра Явдатовна:</t>
        </r>
        <r>
          <rPr>
            <sz val="9"/>
            <color indexed="81"/>
            <rFont val="Tahoma"/>
            <family val="2"/>
            <charset val="204"/>
          </rPr>
          <t xml:space="preserve">
тип покрытия изменен по акту обследования куратора, рек 2017 изменение покрытия на а/б
</t>
        </r>
      </text>
    </comment>
    <comment ref="C49" authorId="1">
      <text>
        <r>
          <rPr>
            <b/>
            <sz val="10"/>
            <color indexed="81"/>
            <rFont val="Tahoma"/>
            <family val="2"/>
            <charset val="204"/>
          </rPr>
          <t>Сусуева:</t>
        </r>
        <r>
          <rPr>
            <sz val="10"/>
            <color indexed="81"/>
            <rFont val="Tahoma"/>
            <family val="2"/>
            <charset val="204"/>
          </rPr>
          <t xml:space="preserve">
0,511 км в черте г. Новосибирска</t>
        </r>
      </text>
    </comment>
    <comment ref="C50" authorId="1">
      <text>
        <r>
          <rPr>
            <b/>
            <sz val="10"/>
            <color indexed="81"/>
            <rFont val="Tahoma"/>
            <family val="2"/>
            <charset val="204"/>
          </rPr>
          <t>Сусуева:</t>
        </r>
        <r>
          <rPr>
            <sz val="10"/>
            <color indexed="81"/>
            <rFont val="Tahoma"/>
            <family val="2"/>
            <charset val="204"/>
          </rPr>
          <t xml:space="preserve">
0,510 км в черте г. Новосибирска</t>
        </r>
      </text>
    </comment>
    <comment ref="C58" authorId="1">
      <text>
        <r>
          <rPr>
            <b/>
            <sz val="10"/>
            <color indexed="81"/>
            <rFont val="Tahoma"/>
            <family val="2"/>
            <charset val="204"/>
          </rPr>
          <t>Сусуева:</t>
        </r>
        <r>
          <rPr>
            <sz val="10"/>
            <color indexed="81"/>
            <rFont val="Tahoma"/>
            <family val="2"/>
            <charset val="204"/>
          </rPr>
          <t xml:space="preserve">
1,196 км в черте г. Новосибирска</t>
        </r>
      </text>
    </comment>
    <comment ref="J62" authorId="2">
      <text>
        <r>
          <rPr>
            <b/>
            <sz val="10"/>
            <color indexed="81"/>
            <rFont val="Tahoma"/>
            <family val="2"/>
            <charset val="204"/>
          </rPr>
          <t>Сусуева:</t>
        </r>
        <r>
          <rPr>
            <sz val="10"/>
            <color indexed="81"/>
            <rFont val="Tahoma"/>
            <family val="2"/>
            <charset val="204"/>
          </rPr>
          <t xml:space="preserve">
Покрытие разрушено</t>
        </r>
      </text>
    </comment>
    <comment ref="D65" authorId="1">
      <text>
        <r>
          <rPr>
            <b/>
            <sz val="10"/>
            <color indexed="81"/>
            <rFont val="Tahoma"/>
            <family val="2"/>
            <charset val="204"/>
          </rPr>
          <t>Сусуева:</t>
        </r>
        <r>
          <rPr>
            <sz val="10"/>
            <color indexed="81"/>
            <rFont val="Tahoma"/>
            <family val="2"/>
            <charset val="204"/>
          </rPr>
          <t xml:space="preserve">
0,798 км
 в Коченевском районе</t>
        </r>
      </text>
    </comment>
    <comment ref="C66" authorId="1">
      <text>
        <r>
          <rPr>
            <b/>
            <sz val="10"/>
            <color indexed="81"/>
            <rFont val="Tahoma"/>
            <family val="2"/>
            <charset val="204"/>
          </rPr>
          <t>Сусуева:</t>
        </r>
        <r>
          <rPr>
            <sz val="10"/>
            <color indexed="81"/>
            <rFont val="Tahoma"/>
            <family val="2"/>
            <charset val="204"/>
          </rPr>
          <t xml:space="preserve">
0,378 км в черте г. Новосибирска</t>
        </r>
      </text>
    </comment>
    <comment ref="F66" authorId="0">
      <text>
        <r>
          <rPr>
            <b/>
            <sz val="9"/>
            <color indexed="81"/>
            <rFont val="Tahoma"/>
            <family val="2"/>
            <charset val="204"/>
          </rPr>
          <t>Макарова Флюра Явдатовна:</t>
        </r>
        <r>
          <rPr>
            <sz val="9"/>
            <color indexed="81"/>
            <rFont val="Tahoma"/>
            <family val="2"/>
            <charset val="204"/>
          </rPr>
          <t xml:space="preserve">
разрыв  между км 4+680 и км 5+713 (занят Северным обходом)</t>
        </r>
      </text>
    </comment>
    <comment ref="D68" authorId="2">
      <text>
        <r>
          <rPr>
            <b/>
            <sz val="10"/>
            <color indexed="81"/>
            <rFont val="Tahoma"/>
            <family val="2"/>
            <charset val="204"/>
          </rPr>
          <t>Сусуева:</t>
        </r>
        <r>
          <rPr>
            <sz val="10"/>
            <color indexed="81"/>
            <rFont val="Tahoma"/>
            <family val="2"/>
            <charset val="204"/>
          </rPr>
          <t xml:space="preserve">
Продолжение дороги в Мошковском районе</t>
        </r>
      </text>
    </comment>
    <comment ref="C71" authorId="0">
      <text>
        <r>
          <rPr>
            <b/>
            <sz val="9"/>
            <color indexed="81"/>
            <rFont val="Tahoma"/>
            <family val="2"/>
            <charset val="204"/>
          </rPr>
          <t>Макарова Флюра Явдатовна:</t>
        </r>
        <r>
          <rPr>
            <sz val="9"/>
            <color indexed="81"/>
            <rFont val="Tahoma"/>
            <family val="2"/>
            <charset val="204"/>
          </rPr>
          <t xml:space="preserve">
продолжение в Мошк районе</t>
        </r>
      </text>
    </comment>
    <comment ref="I71" authorId="0">
      <text>
        <r>
          <rPr>
            <b/>
            <sz val="9"/>
            <color indexed="81"/>
            <rFont val="Tahoma"/>
            <family val="2"/>
            <charset val="204"/>
          </rPr>
          <t>Макарова Флюра Явдатовна:</t>
        </r>
        <r>
          <rPr>
            <sz val="9"/>
            <color indexed="81"/>
            <rFont val="Tahoma"/>
            <family val="2"/>
            <charset val="204"/>
          </rPr>
          <t xml:space="preserve">
по акту обследования покрытие а/б</t>
        </r>
      </text>
    </comment>
    <comment ref="P71" authorId="0">
      <text>
        <r>
          <rPr>
            <b/>
            <sz val="9"/>
            <color indexed="81"/>
            <rFont val="Tahoma"/>
            <family val="2"/>
            <charset val="204"/>
          </rPr>
          <t>Макарова Флюра Явдатовна:</t>
        </r>
        <r>
          <rPr>
            <sz val="9"/>
            <color indexed="81"/>
            <rFont val="Tahoma"/>
            <family val="2"/>
            <charset val="204"/>
          </rPr>
          <t xml:space="preserve">
уч-к 15+442 - 21+000</t>
        </r>
      </text>
    </comment>
  </commentList>
</comments>
</file>

<file path=xl/comments2.xml><?xml version="1.0" encoding="utf-8"?>
<comments xmlns="http://schemas.openxmlformats.org/spreadsheetml/2006/main">
  <authors>
    <author>Макарова Флюра Явдатовна</author>
    <author>Сусуева</author>
  </authors>
  <commentList>
    <comment ref="G16" authorId="0">
      <text>
        <r>
          <rPr>
            <b/>
            <sz val="9"/>
            <color indexed="81"/>
            <rFont val="Tahoma"/>
            <family val="2"/>
            <charset val="204"/>
          </rPr>
          <t>Макарова Флюра Явдатовна:</t>
        </r>
        <r>
          <rPr>
            <sz val="9"/>
            <color indexed="81"/>
            <rFont val="Tahoma"/>
            <family val="2"/>
            <charset val="204"/>
          </rPr>
          <t xml:space="preserve">
реконструкция 2020
</t>
        </r>
      </text>
    </comment>
    <comment ref="M18" authorId="1">
      <text>
        <r>
          <rPr>
            <b/>
            <sz val="10"/>
            <color indexed="81"/>
            <rFont val="Tahoma"/>
            <family val="2"/>
            <charset val="204"/>
          </rPr>
          <t>Сусуева:</t>
        </r>
        <r>
          <rPr>
            <sz val="10"/>
            <color indexed="81"/>
            <rFont val="Tahoma"/>
            <family val="2"/>
            <charset val="204"/>
          </rPr>
          <t xml:space="preserve">
71,78 м,46,78 м - путепровод</t>
        </r>
      </text>
    </comment>
    <comment ref="A34" authorId="1">
      <text>
        <r>
          <rPr>
            <b/>
            <sz val="10"/>
            <color indexed="81"/>
            <rFont val="Tahoma"/>
            <family val="2"/>
            <charset val="204"/>
          </rPr>
          <t>Сусуева:</t>
        </r>
        <r>
          <rPr>
            <sz val="10"/>
            <color indexed="81"/>
            <rFont val="Tahoma"/>
            <family val="2"/>
            <charset val="204"/>
          </rPr>
          <t xml:space="preserve">
на 4 км находится металлический мост протяж.</t>
        </r>
        <r>
          <rPr>
            <sz val="10"/>
            <color indexed="81"/>
            <rFont val="Times New Roman"/>
            <family val="1"/>
            <charset val="204"/>
          </rPr>
          <t>≈</t>
        </r>
        <r>
          <rPr>
            <sz val="10"/>
            <color indexed="81"/>
            <rFont val="Tahoma"/>
            <family val="2"/>
            <charset val="204"/>
          </rPr>
          <t>111 км не наш</t>
        </r>
      </text>
    </comment>
    <comment ref="G39" authorId="1">
      <text>
        <r>
          <rPr>
            <b/>
            <sz val="10"/>
            <color indexed="81"/>
            <rFont val="Tahoma"/>
            <family val="2"/>
            <charset val="204"/>
          </rPr>
          <t>Сусуева:
Выяснить наша ли?</t>
        </r>
      </text>
    </comment>
  </commentList>
</comments>
</file>

<file path=xl/sharedStrings.xml><?xml version="1.0" encoding="utf-8"?>
<sst xmlns="http://schemas.openxmlformats.org/spreadsheetml/2006/main" count="584" uniqueCount="279">
  <si>
    <t>Приложение № 20</t>
  </si>
  <si>
    <t>к приказу министерства транспорта и дорожного хозяйства Новосибирской области</t>
  </si>
  <si>
    <t xml:space="preserve">ПЕРЕЧЕНЬ ТЕХНИЧЕСКИХ ХАРАКТЕРИСТИК АВТОМОБИЛЬНЫХ ДОРОГ И СООРУЖЕНИЙ НА НИХ ОБЩЕГО ПОЛЬЗОВАНИЯ </t>
  </si>
  <si>
    <t>НОВОСИБИРСКОГО РАЙОНА, НАХОДЯЩИХСЯ В ГОСУДАРСТВЕННОЙ СОБСТВЕННОСТИ НОВОСИБИРСКОЙ ОБЛАСТИ</t>
  </si>
  <si>
    <t xml:space="preserve"> </t>
  </si>
  <si>
    <t>Лист 1</t>
  </si>
  <si>
    <t>№№ п/п</t>
  </si>
  <si>
    <t>Идентификационный номер автомобильной дороги</t>
  </si>
  <si>
    <t xml:space="preserve">       Наименование дорог</t>
  </si>
  <si>
    <t>Номер (код) дороги</t>
  </si>
  <si>
    <t xml:space="preserve"> Начало дороги, км</t>
  </si>
  <si>
    <t xml:space="preserve"> Конец дороги, км</t>
  </si>
  <si>
    <t>Протяжен-ность, км</t>
  </si>
  <si>
    <t>Твердое покрытие, км</t>
  </si>
  <si>
    <t>В том числе по типам покрытия, км</t>
  </si>
  <si>
    <t>Техническая  категория, км</t>
  </si>
  <si>
    <t>Эксплуатационный код</t>
  </si>
  <si>
    <t>Усовершенствованный</t>
  </si>
  <si>
    <t>Переходный</t>
  </si>
  <si>
    <t>Грунтовые</t>
  </si>
  <si>
    <t xml:space="preserve">  ц/б</t>
  </si>
  <si>
    <t xml:space="preserve">  а/б</t>
  </si>
  <si>
    <t xml:space="preserve">  ч/щ</t>
  </si>
  <si>
    <t>щебень, гравий</t>
  </si>
  <si>
    <t>грунтощебень</t>
  </si>
  <si>
    <t>I</t>
  </si>
  <si>
    <t xml:space="preserve">  II</t>
  </si>
  <si>
    <t xml:space="preserve">  III</t>
  </si>
  <si>
    <t xml:space="preserve">   IV</t>
  </si>
  <si>
    <t xml:space="preserve">   V</t>
  </si>
  <si>
    <t>Автомобильные дороги регионального значения</t>
  </si>
  <si>
    <t>50 ОП РЗ 50К-12</t>
  </si>
  <si>
    <t>Новосибирск - Колывань -Томск (в границах НСО)</t>
  </si>
  <si>
    <t>К-12</t>
  </si>
  <si>
    <t>Н-2</t>
  </si>
  <si>
    <t>50 ОП РЗ 50К-17р</t>
  </si>
  <si>
    <t>Новосибирск -  Кочки - Павлодар на участке "14,150 км - 15,300 км"</t>
  </si>
  <si>
    <t>К-17р</t>
  </si>
  <si>
    <t>Н-1</t>
  </si>
  <si>
    <t>Новосибирск -  Кочки - Павлодар (в пред. РФ)</t>
  </si>
  <si>
    <t>Н1/Н2</t>
  </si>
  <si>
    <t>Н1</t>
  </si>
  <si>
    <t>50 ОП РЗ 50К-19р</t>
  </si>
  <si>
    <r>
      <t xml:space="preserve">Новосибирск - Ленинск-Кузнецкий </t>
    </r>
    <r>
      <rPr>
        <sz val="13"/>
        <rFont val="Times New Roman Cyr"/>
        <charset val="204"/>
      </rPr>
      <t xml:space="preserve">(в границах </t>
    </r>
    <r>
      <rPr>
        <sz val="13"/>
        <rFont val="Times New Roman Cyr"/>
        <family val="1"/>
        <charset val="204"/>
      </rPr>
      <t>НСО) км 12+000-км 17+243, км 18+984-км 34+771</t>
    </r>
  </si>
  <si>
    <t>50 ОП РЗ 50К-24</t>
  </si>
  <si>
    <t>Новосибирск - аэропорт Толмачево</t>
  </si>
  <si>
    <t>К-24</t>
  </si>
  <si>
    <t>Итого автомобильные дороги регионального значения:</t>
  </si>
  <si>
    <t>Автомобильные дороги межмуниципального значения</t>
  </si>
  <si>
    <t>50 ОП МЗ 50К-17рп13</t>
  </si>
  <si>
    <t>Подъезд к с. Верх-Тула /21 км/</t>
  </si>
  <si>
    <t>К-17рп13</t>
  </si>
  <si>
    <t>Н-3</t>
  </si>
  <si>
    <t>50 ОП МЗ 50Н-2101</t>
  </si>
  <si>
    <t>Новосибирск -  Садовый</t>
  </si>
  <si>
    <t>Н-2101</t>
  </si>
  <si>
    <t>50 ОП МЗ 50Н-2102</t>
  </si>
  <si>
    <r>
      <t>1445 км а/д "М-51</t>
    </r>
    <r>
      <rPr>
        <sz val="13"/>
        <rFont val="Times New Roman Cyr"/>
        <family val="1"/>
        <charset val="204"/>
      </rPr>
      <t xml:space="preserve">" -  Красноглинное </t>
    </r>
  </si>
  <si>
    <t>Н-2102</t>
  </si>
  <si>
    <t>Н-5</t>
  </si>
  <si>
    <t>50 ОП МЗ 50Н-2103</t>
  </si>
  <si>
    <t>2 км а/д "Н-2105" - Кубовая</t>
  </si>
  <si>
    <t>Н-2103</t>
  </si>
  <si>
    <t>50 ОП МЗ 50Н-2104</t>
  </si>
  <si>
    <r>
      <t>1445 км а/д "М-51"</t>
    </r>
    <r>
      <rPr>
        <sz val="13"/>
        <rFont val="Times New Roman Cyr"/>
        <family val="1"/>
        <charset val="204"/>
      </rPr>
      <t xml:space="preserve"> - Алексеевка </t>
    </r>
  </si>
  <si>
    <t>Н-2104</t>
  </si>
  <si>
    <t>50 ОП МЗ 50Н-2105</t>
  </si>
  <si>
    <t>Сосновка -  Степной</t>
  </si>
  <si>
    <t>Н-2105</t>
  </si>
  <si>
    <t>50 ОП МЗ 50Н-2107</t>
  </si>
  <si>
    <t>Инская - Барышево - 39 км а/д "К-19р" (в гр. района)</t>
  </si>
  <si>
    <t>Н-2107</t>
  </si>
  <si>
    <t>50 ОП МЗ 50Н-2107п1</t>
  </si>
  <si>
    <t>Подьезд к Госплемптицесовхозу /3 км/</t>
  </si>
  <si>
    <t>Н-2107п1</t>
  </si>
  <si>
    <t>50 ОП МЗ 50Н-2144п1</t>
  </si>
  <si>
    <t>Подьезд к Госплемптицесовхозу /2 км/</t>
  </si>
  <si>
    <t>Н-2144п1</t>
  </si>
  <si>
    <t>50 ОП МЗ 50Н-2107п2</t>
  </si>
  <si>
    <t>Подъезд к с.Березовка /18 км/</t>
  </si>
  <si>
    <t>Н-2107п2</t>
  </si>
  <si>
    <t>50 ОП МЗ 50Н-2109</t>
  </si>
  <si>
    <t>13 км а/д "Н-2107" - Железнодорожный</t>
  </si>
  <si>
    <t>Н-2109</t>
  </si>
  <si>
    <t>50 ОП МЗ 50Н-2110</t>
  </si>
  <si>
    <t>14 км а/д "Н-2107" - Быково</t>
  </si>
  <si>
    <t>Н-2110</t>
  </si>
  <si>
    <t>50 ОП МЗ 50Н-2111</t>
  </si>
  <si>
    <t>6 км а/д "Н-2107" - Мичуринский</t>
  </si>
  <si>
    <t>Н-2111</t>
  </si>
  <si>
    <t>50 ОП МЗ 50Н-2112</t>
  </si>
  <si>
    <t>18 км а/д "Н-2107" - Малиновка</t>
  </si>
  <si>
    <t>Н-2112</t>
  </si>
  <si>
    <t>50 ОП МЗ 50Н-2113</t>
  </si>
  <si>
    <t>16 км а/д "Н-2107" -  Шелковичиха</t>
  </si>
  <si>
    <t>Н-2113</t>
  </si>
  <si>
    <t>50 ОП МЗ 50Н-2116</t>
  </si>
  <si>
    <r>
      <t>1 км а/д "Н-2123" -</t>
    </r>
    <r>
      <rPr>
        <sz val="13"/>
        <rFont val="Times New Roman Cyr"/>
        <charset val="204"/>
      </rPr>
      <t xml:space="preserve"> Верх-Тула</t>
    </r>
    <r>
      <rPr>
        <sz val="13"/>
        <rFont val="Times New Roman Cyr"/>
        <family val="1"/>
        <charset val="204"/>
      </rPr>
      <t xml:space="preserve"> -  Ленинское - ОБЬГЭС</t>
    </r>
  </si>
  <si>
    <t>Н-2116</t>
  </si>
  <si>
    <t>50 ОП МЗ 50Н-2116п1</t>
  </si>
  <si>
    <t>Подъезд к с.Ленинское /9 км/</t>
  </si>
  <si>
    <t>Н-2116п1</t>
  </si>
  <si>
    <t>50 ОП МЗ 50Н-2117</t>
  </si>
  <si>
    <t>25 км а/д "Н-2141" -   Ленинский</t>
  </si>
  <si>
    <t>Н-2117</t>
  </si>
  <si>
    <t>50 ОП МЗ 50Н-2118</t>
  </si>
  <si>
    <t>21 км а/д "Н-2141" - Витаминка</t>
  </si>
  <si>
    <t>Н-2118</t>
  </si>
  <si>
    <t>50 ОП МЗ 50Н-2119</t>
  </si>
  <si>
    <t>Новосибирск -   Каменка</t>
  </si>
  <si>
    <t>Н-2119</t>
  </si>
  <si>
    <t>50 ОП МЗ 50Н-2120</t>
  </si>
  <si>
    <r>
      <t>12</t>
    </r>
    <r>
      <rPr>
        <sz val="13"/>
        <rFont val="Times New Roman Cyr"/>
        <family val="1"/>
        <charset val="204"/>
      </rPr>
      <t xml:space="preserve"> км а/д "К-12" -  Криводановка</t>
    </r>
  </si>
  <si>
    <t>Н-2120</t>
  </si>
  <si>
    <t>50 ОП МЗ 50Н-2121</t>
  </si>
  <si>
    <t>4 км а/д "Н-2120" - Марусино</t>
  </si>
  <si>
    <t>Н-2121</t>
  </si>
  <si>
    <t>50 ОП МЗ 50Н-2122</t>
  </si>
  <si>
    <r>
      <t>45</t>
    </r>
    <r>
      <rPr>
        <sz val="13"/>
        <rFont val="Times New Roman Cyr"/>
        <family val="1"/>
        <charset val="204"/>
      </rPr>
      <t>км а/д "К-17р" - Боровое</t>
    </r>
  </si>
  <si>
    <t>Н-2122</t>
  </si>
  <si>
    <t>50 ОП МЗ 50Н-2123</t>
  </si>
  <si>
    <t>21 км а/д "К-17р" - Верх-Тула</t>
  </si>
  <si>
    <t>Н-2123</t>
  </si>
  <si>
    <t>50 ОП МЗ 50Н-2124</t>
  </si>
  <si>
    <t>36 км а/д "К-17р" - Ярково - Пайвино - Сенчанка</t>
  </si>
  <si>
    <t>Н-2124</t>
  </si>
  <si>
    <t>50 ОП МЗ 50Н-2125</t>
  </si>
  <si>
    <t>10 км а/д "Н-2122" -  Береговое</t>
  </si>
  <si>
    <t>Н-2125</t>
  </si>
  <si>
    <t>50 ОП МЗ 50Н-2126</t>
  </si>
  <si>
    <r>
      <t>53</t>
    </r>
    <r>
      <rPr>
        <sz val="13"/>
        <rFont val="Times New Roman Cyr"/>
        <family val="1"/>
        <charset val="204"/>
      </rPr>
      <t xml:space="preserve"> км а/д "К-17р" -</t>
    </r>
    <r>
      <rPr>
        <sz val="13"/>
        <rFont val="Times New Roman Cyr"/>
        <charset val="204"/>
      </rPr>
      <t xml:space="preserve"> Новошилово</t>
    </r>
    <r>
      <rPr>
        <sz val="13"/>
        <rFont val="Times New Roman Cyr"/>
        <family val="1"/>
        <charset val="204"/>
      </rPr>
      <t xml:space="preserve"> - Шилово</t>
    </r>
  </si>
  <si>
    <t>Н-2126</t>
  </si>
  <si>
    <t>50 ОП МЗ 50Н-2127</t>
  </si>
  <si>
    <t>27 км а/д "К-17р" - им.Крупской</t>
  </si>
  <si>
    <t>Н-2127</t>
  </si>
  <si>
    <t>50 ОП МЗ 50Н-2128</t>
  </si>
  <si>
    <t>Новосибирск - Тулинский</t>
  </si>
  <si>
    <t>Н-2128</t>
  </si>
  <si>
    <t>50 ОП МЗ 50Н-2129</t>
  </si>
  <si>
    <t>7 км а/д "Н-2122" - Прогресс</t>
  </si>
  <si>
    <t>Н-2129</t>
  </si>
  <si>
    <t>50 ОП МЗ 50Н-2130</t>
  </si>
  <si>
    <r>
      <t>20</t>
    </r>
    <r>
      <rPr>
        <sz val="13"/>
        <rFont val="Times New Roman Cyr"/>
        <family val="1"/>
        <charset val="204"/>
      </rPr>
      <t xml:space="preserve"> км а/д "К-12" - Кудряшовский</t>
    </r>
  </si>
  <si>
    <t>Н-2130</t>
  </si>
  <si>
    <t>50 ОП МЗ 50Н-2131</t>
  </si>
  <si>
    <t>29 км а/д "К-19р" - Жеребцово</t>
  </si>
  <si>
    <t>Н-2131</t>
  </si>
  <si>
    <t>50 ОП МЗ 50Н-2132</t>
  </si>
  <si>
    <t>Подьезд к пионерскому лагерю</t>
  </si>
  <si>
    <t>Н-2132</t>
  </si>
  <si>
    <t>50 ОП МЗ 50Н-2133</t>
  </si>
  <si>
    <t>Кольцово - Академгородок</t>
  </si>
  <si>
    <t>Н-2133</t>
  </si>
  <si>
    <t>50 ОП МЗ 50Н-2134</t>
  </si>
  <si>
    <t>Н-2134</t>
  </si>
  <si>
    <t>50 ОП МЗ 50Н-2138</t>
  </si>
  <si>
    <t>Новосибирск - Красный Яр</t>
  </si>
  <si>
    <t>Н-2138</t>
  </si>
  <si>
    <t>50 ОП МЗ 50Н-1918</t>
  </si>
  <si>
    <t>23 км а/д "Н-2141" - Локти (в гр. района)</t>
  </si>
  <si>
    <t>Н-1918</t>
  </si>
  <si>
    <t>50 ОП МЗ 50Н-2139</t>
  </si>
  <si>
    <t>Советское шоссе</t>
  </si>
  <si>
    <t>Н-2139</t>
  </si>
  <si>
    <t>50 ОП МЗ 50Н-2140</t>
  </si>
  <si>
    <t>8 км а/д "Н-2107" - Кольцово</t>
  </si>
  <si>
    <t>Н-2140</t>
  </si>
  <si>
    <t>50 ОП МЗ 50Н-2141</t>
  </si>
  <si>
    <t>Новосибирск - Сокур (в гр. района)</t>
  </si>
  <si>
    <t>Н-2141</t>
  </si>
  <si>
    <t>50 ОП МЗ 50Н-2143</t>
  </si>
  <si>
    <t>Подъездные автомобильные дороги в промышленно-логистическом парке</t>
  </si>
  <si>
    <t>Н-2143</t>
  </si>
  <si>
    <t>50 ОП МЗ 50Н-2144</t>
  </si>
  <si>
    <t>"Барышево - Орловка - Кольцово" с автодорожным тоннелем под железной дорогой</t>
  </si>
  <si>
    <t>Н-2144</t>
  </si>
  <si>
    <t>50 ОП МЗ 50Н-2145</t>
  </si>
  <si>
    <t>от с. Криводановка до Северного обхода г. Новосибирска</t>
  </si>
  <si>
    <t>Н-2145</t>
  </si>
  <si>
    <t>50 ОП МЗ 50Н-2146</t>
  </si>
  <si>
    <t>Криводановка - Северный объезд г. Новосибирска</t>
  </si>
  <si>
    <t>Н-2146</t>
  </si>
  <si>
    <t>50 ОП МЗ 50Н-2147</t>
  </si>
  <si>
    <t>Барышево - Орловка - Кольцово на участке км 2+246 - км 2+426</t>
  </si>
  <si>
    <t>Н-2147</t>
  </si>
  <si>
    <t>Итого автомобильные дороги межмуниципального значения:</t>
  </si>
  <si>
    <t>И т о г о :</t>
  </si>
  <si>
    <t>ПЕРЕЧЕНЬ ТЕХНИЧЕСКИХ ХАРАКТЕРИСТИК АВТОМОБИЛЬНЫХ ДОРОГ И СООРУЖЕНИЙ НА НИХ ОБЩЕГО ПОЛЬЗОВАНИЯ</t>
  </si>
  <si>
    <t>НОВОСИБИРСКОГО РАЙОНА, НАХОДЯЩИХСЯ В ГОСУДАРСТВЕННОЙ  СОБСТВЕННОСТИ НОВОСИБИРСКОЙ ОБЛАСТИ</t>
  </si>
  <si>
    <t>лист 2</t>
  </si>
  <si>
    <t xml:space="preserve">  Трубы</t>
  </si>
  <si>
    <t xml:space="preserve">   М о с т ы</t>
  </si>
  <si>
    <t>Железнодо-рожные переезды, км</t>
  </si>
  <si>
    <t xml:space="preserve">   Всего</t>
  </si>
  <si>
    <t xml:space="preserve">                                в том числе </t>
  </si>
  <si>
    <t xml:space="preserve"> Всего</t>
  </si>
  <si>
    <t xml:space="preserve">       в  т о м  ч и с л е</t>
  </si>
  <si>
    <t>Железобетонные</t>
  </si>
  <si>
    <t xml:space="preserve"> Металлические</t>
  </si>
  <si>
    <t xml:space="preserve">               Деревянные</t>
  </si>
  <si>
    <t xml:space="preserve">  Металлические</t>
  </si>
  <si>
    <t>Комбинированные</t>
  </si>
  <si>
    <t xml:space="preserve">  Деревянные</t>
  </si>
  <si>
    <t>шт</t>
  </si>
  <si>
    <t>п.м.</t>
  </si>
  <si>
    <t xml:space="preserve">   шт</t>
  </si>
  <si>
    <t xml:space="preserve">  п.м.</t>
  </si>
  <si>
    <t xml:space="preserve">    шт</t>
  </si>
  <si>
    <t xml:space="preserve">   п.м.</t>
  </si>
  <si>
    <t xml:space="preserve">    нет</t>
  </si>
  <si>
    <t>нет</t>
  </si>
  <si>
    <t>Итого автомобильных дорог регионального значения:</t>
  </si>
  <si>
    <t xml:space="preserve">     3</t>
  </si>
  <si>
    <t xml:space="preserve"> 5 ; 6 ; 6 </t>
  </si>
  <si>
    <t xml:space="preserve">     1</t>
  </si>
  <si>
    <t>Итого автомобильных дорог межмуниципального значения:</t>
  </si>
  <si>
    <t xml:space="preserve">                 И т о г о :</t>
  </si>
  <si>
    <t>29 км а/д "К-12" - Катковский (в гр. района)</t>
  </si>
  <si>
    <t>Приложение № 1</t>
  </si>
  <si>
    <t>ТЕХНИЧЕСКИЕ ХАРАКТЕРИСТИКИ АВТОМОБИЛЬНЫХ ДОРОГ ОБЩЕГО ПОЛЬЗОВАНИЯ РЕГИОНАЛЬНОГО ЗНАЧЕНИЯ,</t>
  </si>
  <si>
    <t>ТЕХНИЧЕСКИЕ ХАРАКТЕРИСТИКИ АВТОМОБИЛЬНЫХ ДОРОГ ОБЩЕГО ПОЛЬЗОВАНИЯ МЕЖМУНИЦИПАЛЬНОГО ЗНАЧЕНИЯ,</t>
  </si>
  <si>
    <t>ТЕХНИЧЕСКИЕ  ХАРАКТЕРИСТИКИ АВТОМОБИЛЬНЫХ ДОРОГ ОБЩЕГО ПОЛЬЗОВАНИЯ,</t>
  </si>
  <si>
    <t>НАХОДЯЩИХСЯ В ГОСУДАРСТВЕННОЙ СОБСТВЕННОСТИ НОВОСИБИРСКОЙ ОБЛАСТИ</t>
  </si>
  <si>
    <t>Лист 2 (листов 6)</t>
  </si>
  <si>
    <t>Лист 3 (листов 6)</t>
  </si>
  <si>
    <t>Лист 1 (листов 6)</t>
  </si>
  <si>
    <t>Баганский</t>
  </si>
  <si>
    <t>Барабинский</t>
  </si>
  <si>
    <t>Болотнинский</t>
  </si>
  <si>
    <t>Венгеровский</t>
  </si>
  <si>
    <t>Доволенский</t>
  </si>
  <si>
    <t>Здвинский</t>
  </si>
  <si>
    <t>Искитимский</t>
  </si>
  <si>
    <t>Карасукский</t>
  </si>
  <si>
    <t>Каргатский</t>
  </si>
  <si>
    <t>Колыванский</t>
  </si>
  <si>
    <t>Коченевский</t>
  </si>
  <si>
    <t>Кочковский</t>
  </si>
  <si>
    <t>Краснозерский</t>
  </si>
  <si>
    <t>Куйбышевский</t>
  </si>
  <si>
    <t>Купинский</t>
  </si>
  <si>
    <t>Кыштовский</t>
  </si>
  <si>
    <t>Маслянинский</t>
  </si>
  <si>
    <t>Мошковский</t>
  </si>
  <si>
    <t>Новосибирский</t>
  </si>
  <si>
    <t>Ордынский</t>
  </si>
  <si>
    <t>Северный</t>
  </si>
  <si>
    <t>Сузунский</t>
  </si>
  <si>
    <t>Татарский</t>
  </si>
  <si>
    <t>Тогучинский</t>
  </si>
  <si>
    <t>Убинский</t>
  </si>
  <si>
    <t>Усть-Таркский</t>
  </si>
  <si>
    <t>Чановский</t>
  </si>
  <si>
    <t>Черепановский</t>
  </si>
  <si>
    <t>Чистоозерный</t>
  </si>
  <si>
    <t>Чулымский</t>
  </si>
  <si>
    <t>г. Новосибирск</t>
  </si>
  <si>
    <t>г. Обь</t>
  </si>
  <si>
    <t>,,,,,,,,,,,,,,,,,,,,,,,,,,,,,,,,,,</t>
  </si>
  <si>
    <t xml:space="preserve">ТЕХНИЧЕСКИЕ ХАРАКТЕРИСТИКИ ИСКУССТВЕННЫХ СООРУЖЕНИЙ </t>
  </si>
  <si>
    <t xml:space="preserve">ТЕХНИЧЕСКИЕ ХАРАКТЕРИСТИКИ ИСКУССТВЕННЫХ СООРУЖЕНИЙ  </t>
  </si>
  <si>
    <t xml:space="preserve"> НА АВТОМОБИЛЬНЫХ ДОРОГАХ ОБЩЕГО ПОЛЬЗОВАНИЯ РЕГИОНАЛЬНОГО  ЗНАЧЕНИЯ, НАХОДЯЩИХСЯ В ГОСУДАРСТВЕННОЙ  СОБСТВЕННОСТИ НОВОСИБИРСКОЙ ОБЛАСТИ</t>
  </si>
  <si>
    <t xml:space="preserve"> НА АВТОМОБИЛЬНЫХ  ДОРОГАХ ОБЩЕГО ПОЛЬЗОВАНИЯ  МЕЖМУНИЦИПАЛЬНОГО ЗНАЧЕНИЯ, НАХОДЯЩИХСЯ В ГОСУДАРСТВЕННОЙ  СОБСТВЕННОСТИ НОВОСИБИРСКОЙ ОБЛАСТИ</t>
  </si>
  <si>
    <t xml:space="preserve"> НА АВТОМОБИЛЬНЫХ ДОРОГАХ ОБЩЕГО ПОЛЬЗОВАНИЯ, НАХОДЯЩИХСЯ В ГОСУДАРСТВЕННОЙ  СОБСТВЕННОСТИ НОВОСИБИРСКОЙ ОБЛАСТИ</t>
  </si>
  <si>
    <t>лист 5 (листов 6)</t>
  </si>
  <si>
    <t>лист 6(листо 6)</t>
  </si>
  <si>
    <t>лист 4 (листов 6)</t>
  </si>
  <si>
    <t>Местоположение железнодорожных переездов, км</t>
  </si>
  <si>
    <t>Железнодо-рожные переезды, шт</t>
  </si>
  <si>
    <t xml:space="preserve">      в том числе </t>
  </si>
  <si>
    <t xml:space="preserve">  Комбинированные</t>
  </si>
  <si>
    <t>Деревянные</t>
  </si>
  <si>
    <t xml:space="preserve"> шт</t>
  </si>
  <si>
    <t>-</t>
  </si>
  <si>
    <t xml:space="preserve"> - </t>
  </si>
  <si>
    <t>по состоянию на _______________</t>
  </si>
  <si>
    <t>по состоянию на ____________________</t>
  </si>
  <si>
    <t>Н-1/Н-2</t>
  </si>
  <si>
    <t>от 09.11.2023 № 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</si>
</sst>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0"/>
    <numFmt numFmtId="167" formatCode="0.0%"/>
  </numFmts>
  <fonts count="38" x14ac:knownFonts="1">
    <font>
      <sz val="10"/>
      <name val="Courier"/>
      <charset val="204"/>
    </font>
    <font>
      <b/>
      <sz val="14"/>
      <name val="Times New Roman"/>
      <family val="1"/>
    </font>
    <font>
      <sz val="10"/>
      <name val="Times New Roman Cyr"/>
      <family val="1"/>
      <charset val="204"/>
    </font>
    <font>
      <sz val="10"/>
      <name val="Courie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 Cyr"/>
      <charset val="204"/>
    </font>
    <font>
      <sz val="13"/>
      <name val="Times New Roman Cyr"/>
      <charset val="204"/>
    </font>
    <font>
      <sz val="13"/>
      <color rgb="FFFF0000"/>
      <name val="Times New Roman Cyr"/>
      <family val="1"/>
      <charset val="204"/>
    </font>
    <font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FF0000"/>
      <name val="Courier"/>
      <family val="1"/>
      <charset val="204"/>
    </font>
    <font>
      <sz val="10"/>
      <color rgb="FFFF0000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b/>
      <sz val="14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Courier"/>
      <family val="1"/>
      <charset val="204"/>
    </font>
    <font>
      <sz val="12"/>
      <name val="Symbol"/>
      <family val="1"/>
      <charset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 Cyr"/>
      <family val="1"/>
      <charset val="204"/>
    </font>
    <font>
      <sz val="16"/>
      <name val="Times New Roman Cyr"/>
      <charset val="204"/>
    </font>
    <font>
      <sz val="10"/>
      <color indexed="10"/>
      <name val="Times New Roman Cyr"/>
      <family val="1"/>
      <charset val="204"/>
    </font>
    <font>
      <sz val="10"/>
      <name val="Arial Cyr"/>
      <charset val="204"/>
    </font>
    <font>
      <sz val="11"/>
      <name val="Courie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color indexed="10"/>
      <name val="Courier"/>
      <family val="1"/>
      <charset val="204"/>
    </font>
  </fonts>
  <fills count="2">
    <fill>
      <patternFill patternType="none"/>
    </fill>
    <fill>
      <patternFill patternType="gray125"/>
    </fill>
  </fills>
  <borders count="12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33" fillId="0" borderId="0" applyFont="0" applyFill="0" applyBorder="0" applyAlignment="0" applyProtection="0"/>
  </cellStyleXfs>
  <cellXfs count="586">
    <xf numFmtId="0" fontId="0" fillId="0" borderId="0" xfId="0"/>
    <xf numFmtId="0" fontId="1" fillId="0" borderId="0" xfId="0" applyFont="1" applyAlignment="1"/>
    <xf numFmtId="0" fontId="2" fillId="0" borderId="0" xfId="0" applyFont="1" applyProtection="1"/>
    <xf numFmtId="0" fontId="3" fillId="0" borderId="0" xfId="0" applyFont="1"/>
    <xf numFmtId="0" fontId="4" fillId="0" borderId="0" xfId="0" applyFont="1" applyAlignme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wrapText="1"/>
    </xf>
    <xf numFmtId="164" fontId="2" fillId="0" borderId="0" xfId="0" applyNumberFormat="1" applyFont="1"/>
    <xf numFmtId="0" fontId="5" fillId="0" borderId="0" xfId="0" applyFont="1" applyAlignment="1" applyProtection="1"/>
    <xf numFmtId="0" fontId="6" fillId="0" borderId="0" xfId="0" applyFont="1" applyFill="1" applyBorder="1" applyAlignment="1" applyProtection="1">
      <alignment horizontal="right"/>
    </xf>
    <xf numFmtId="0" fontId="2" fillId="0" borderId="0" xfId="0" applyFont="1" applyAlignment="1" applyProtection="1">
      <alignment wrapText="1"/>
    </xf>
    <xf numFmtId="2" fontId="2" fillId="0" borderId="0" xfId="0" applyNumberFormat="1" applyFont="1" applyProtection="1"/>
    <xf numFmtId="0" fontId="7" fillId="0" borderId="0" xfId="0" applyFont="1" applyAlignment="1" applyProtection="1">
      <alignment horizontal="right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2" fillId="0" borderId="0" xfId="0" applyFont="1" applyBorder="1"/>
    <xf numFmtId="0" fontId="8" fillId="0" borderId="15" xfId="0" applyFont="1" applyFill="1" applyBorder="1" applyAlignment="1" applyProtection="1">
      <alignment horizontal="center" vertical="center"/>
    </xf>
    <xf numFmtId="0" fontId="2" fillId="0" borderId="17" xfId="0" applyFont="1" applyBorder="1"/>
    <xf numFmtId="0" fontId="7" fillId="0" borderId="18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7" fillId="0" borderId="24" xfId="0" applyFont="1" applyFill="1" applyBorder="1" applyAlignment="1" applyProtection="1">
      <alignment horizontal="center"/>
    </xf>
    <xf numFmtId="0" fontId="7" fillId="0" borderId="25" xfId="0" applyFont="1" applyFill="1" applyBorder="1" applyAlignment="1" applyProtection="1">
      <alignment horizontal="center"/>
    </xf>
    <xf numFmtId="1" fontId="7" fillId="0" borderId="26" xfId="0" applyNumberFormat="1" applyFont="1" applyFill="1" applyBorder="1" applyAlignment="1" applyProtection="1">
      <alignment horizontal="left"/>
      <protection locked="0"/>
    </xf>
    <xf numFmtId="1" fontId="10" fillId="0" borderId="27" xfId="0" applyNumberFormat="1" applyFont="1" applyFill="1" applyBorder="1" applyAlignment="1" applyProtection="1">
      <alignment horizontal="center"/>
      <protection locked="0"/>
    </xf>
    <xf numFmtId="1" fontId="10" fillId="0" borderId="27" xfId="0" applyNumberFormat="1" applyFont="1" applyFill="1" applyBorder="1" applyAlignment="1" applyProtection="1">
      <alignment horizontal="left" vertical="center"/>
      <protection locked="0"/>
    </xf>
    <xf numFmtId="2" fontId="7" fillId="0" borderId="7" xfId="0" applyNumberFormat="1" applyFont="1" applyFill="1" applyBorder="1" applyAlignment="1">
      <alignment horizontal="center"/>
    </xf>
    <xf numFmtId="164" fontId="7" fillId="0" borderId="27" xfId="0" applyNumberFormat="1" applyFont="1" applyFill="1" applyBorder="1" applyAlignment="1"/>
    <xf numFmtId="164" fontId="7" fillId="0" borderId="28" xfId="0" applyNumberFormat="1" applyFont="1" applyFill="1" applyBorder="1" applyAlignment="1" applyProtection="1"/>
    <xf numFmtId="2" fontId="7" fillId="0" borderId="29" xfId="0" applyNumberFormat="1" applyFont="1" applyBorder="1"/>
    <xf numFmtId="164" fontId="7" fillId="0" borderId="30" xfId="0" applyNumberFormat="1" applyFont="1" applyFill="1" applyBorder="1" applyAlignment="1"/>
    <xf numFmtId="164" fontId="7" fillId="0" borderId="31" xfId="0" applyNumberFormat="1" applyFont="1" applyFill="1" applyBorder="1" applyAlignment="1">
      <alignment horizontal="center"/>
    </xf>
    <xf numFmtId="164" fontId="3" fillId="0" borderId="0" xfId="0" applyNumberFormat="1" applyFont="1"/>
    <xf numFmtId="1" fontId="7" fillId="0" borderId="26" xfId="0" applyNumberFormat="1" applyFont="1" applyFill="1" applyBorder="1" applyAlignment="1" applyProtection="1">
      <alignment horizontal="left" wrapText="1"/>
      <protection locked="0"/>
    </xf>
    <xf numFmtId="2" fontId="7" fillId="0" borderId="29" xfId="0" applyNumberFormat="1" applyFont="1" applyFill="1" applyBorder="1" applyAlignment="1" applyProtection="1">
      <alignment horizontal="center" wrapText="1"/>
    </xf>
    <xf numFmtId="2" fontId="7" fillId="0" borderId="29" xfId="0" applyNumberFormat="1" applyFont="1" applyFill="1" applyBorder="1" applyAlignment="1" applyProtection="1">
      <alignment horizontal="left" vertical="center" wrapText="1"/>
    </xf>
    <xf numFmtId="2" fontId="7" fillId="0" borderId="27" xfId="0" applyNumberFormat="1" applyFont="1" applyFill="1" applyBorder="1" applyAlignment="1" applyProtection="1">
      <alignment horizontal="center"/>
    </xf>
    <xf numFmtId="164" fontId="7" fillId="0" borderId="7" xfId="0" applyNumberFormat="1" applyFont="1" applyFill="1" applyBorder="1" applyAlignment="1">
      <alignment wrapText="1"/>
    </xf>
    <xf numFmtId="164" fontId="7" fillId="0" borderId="7" xfId="0" applyNumberFormat="1" applyFont="1" applyFill="1" applyBorder="1" applyAlignment="1"/>
    <xf numFmtId="2" fontId="7" fillId="0" borderId="32" xfId="0" applyNumberFormat="1" applyFont="1" applyBorder="1"/>
    <xf numFmtId="164" fontId="7" fillId="0" borderId="12" xfId="0" applyNumberFormat="1" applyFont="1" applyFill="1" applyBorder="1" applyAlignment="1"/>
    <xf numFmtId="164" fontId="7" fillId="0" borderId="13" xfId="0" applyNumberFormat="1" applyFont="1" applyFill="1" applyBorder="1" applyAlignment="1">
      <alignment horizontal="center"/>
    </xf>
    <xf numFmtId="164" fontId="7" fillId="0" borderId="27" xfId="0" applyNumberFormat="1" applyFont="1" applyFill="1" applyBorder="1" applyAlignment="1" applyProtection="1"/>
    <xf numFmtId="164" fontId="7" fillId="0" borderId="30" xfId="0" applyNumberFormat="1" applyFont="1" applyFill="1" applyBorder="1" applyAlignment="1" applyProtection="1"/>
    <xf numFmtId="164" fontId="7" fillId="0" borderId="31" xfId="0" applyNumberFormat="1" applyFont="1" applyFill="1" applyBorder="1" applyAlignment="1" applyProtection="1">
      <alignment horizontal="center"/>
    </xf>
    <xf numFmtId="164" fontId="7" fillId="0" borderId="34" xfId="0" applyNumberFormat="1" applyFont="1" applyFill="1" applyBorder="1" applyAlignment="1" applyProtection="1"/>
    <xf numFmtId="164" fontId="11" fillId="0" borderId="34" xfId="0" applyNumberFormat="1" applyFont="1" applyFill="1" applyBorder="1" applyAlignment="1" applyProtection="1"/>
    <xf numFmtId="164" fontId="7" fillId="0" borderId="36" xfId="0" applyNumberFormat="1" applyFont="1" applyFill="1" applyBorder="1" applyAlignment="1" applyProtection="1"/>
    <xf numFmtId="164" fontId="7" fillId="0" borderId="29" xfId="0" applyNumberFormat="1" applyFont="1" applyFill="1" applyBorder="1" applyAlignment="1" applyProtection="1"/>
    <xf numFmtId="1" fontId="10" fillId="0" borderId="26" xfId="0" applyNumberFormat="1" applyFont="1" applyFill="1" applyBorder="1" applyAlignment="1" applyProtection="1">
      <alignment horizontal="left"/>
      <protection locked="0"/>
    </xf>
    <xf numFmtId="2" fontId="7" fillId="0" borderId="27" xfId="0" applyNumberFormat="1" applyFont="1" applyFill="1" applyBorder="1" applyAlignment="1" applyProtection="1">
      <alignment horizontal="center"/>
      <protection locked="0"/>
    </xf>
    <xf numFmtId="2" fontId="7" fillId="0" borderId="27" xfId="0" applyNumberFormat="1" applyFont="1" applyFill="1" applyBorder="1" applyAlignment="1" applyProtection="1">
      <alignment vertical="center"/>
      <protection locked="0"/>
    </xf>
    <xf numFmtId="2" fontId="10" fillId="0" borderId="27" xfId="0" applyNumberFormat="1" applyFont="1" applyFill="1" applyBorder="1" applyAlignment="1" applyProtection="1">
      <alignment horizontal="center"/>
    </xf>
    <xf numFmtId="164" fontId="10" fillId="0" borderId="27" xfId="0" applyNumberFormat="1" applyFont="1" applyFill="1" applyBorder="1" applyAlignment="1" applyProtection="1"/>
    <xf numFmtId="0" fontId="12" fillId="0" borderId="0" xfId="0" applyFont="1" applyFill="1"/>
    <xf numFmtId="164" fontId="13" fillId="0" borderId="43" xfId="0" applyNumberFormat="1" applyFont="1" applyFill="1" applyBorder="1" applyAlignment="1" applyProtection="1">
      <alignment vertical="center"/>
      <protection locked="0"/>
    </xf>
    <xf numFmtId="164" fontId="13" fillId="0" borderId="44" xfId="0" applyNumberFormat="1" applyFont="1" applyFill="1" applyBorder="1" applyAlignment="1" applyProtection="1">
      <alignment vertical="center"/>
      <protection locked="0"/>
    </xf>
    <xf numFmtId="164" fontId="13" fillId="0" borderId="45" xfId="0" applyNumberFormat="1" applyFont="1" applyFill="1" applyBorder="1" applyAlignment="1" applyProtection="1">
      <alignment vertical="center"/>
      <protection locked="0"/>
    </xf>
    <xf numFmtId="164" fontId="13" fillId="0" borderId="23" xfId="0" applyNumberFormat="1" applyFont="1" applyFill="1" applyBorder="1" applyAlignment="1" applyProtection="1">
      <alignment vertical="center"/>
      <protection locked="0"/>
    </xf>
    <xf numFmtId="164" fontId="13" fillId="0" borderId="23" xfId="0" applyNumberFormat="1" applyFont="1" applyFill="1" applyBorder="1" applyAlignment="1" applyProtection="1">
      <alignment vertical="center"/>
    </xf>
    <xf numFmtId="164" fontId="13" fillId="0" borderId="24" xfId="0" applyNumberFormat="1" applyFont="1" applyFill="1" applyBorder="1" applyAlignment="1" applyProtection="1">
      <alignment vertical="center"/>
      <protection locked="0"/>
    </xf>
    <xf numFmtId="164" fontId="13" fillId="0" borderId="25" xfId="0" applyNumberFormat="1" applyFont="1" applyFill="1" applyBorder="1" applyAlignment="1" applyProtection="1">
      <alignment vertical="center"/>
      <protection locked="0"/>
    </xf>
    <xf numFmtId="1" fontId="10" fillId="0" borderId="27" xfId="0" applyNumberFormat="1" applyFont="1" applyFill="1" applyBorder="1" applyAlignment="1" applyProtection="1">
      <alignment horizontal="center" vertical="center"/>
      <protection locked="0"/>
    </xf>
    <xf numFmtId="2" fontId="7" fillId="0" borderId="29" xfId="0" applyNumberFormat="1" applyFont="1" applyFill="1" applyBorder="1" applyAlignment="1" applyProtection="1">
      <alignment horizontal="left" vertical="center"/>
    </xf>
    <xf numFmtId="2" fontId="10" fillId="0" borderId="29" xfId="0" applyNumberFormat="1" applyFont="1" applyFill="1" applyBorder="1" applyAlignment="1" applyProtection="1">
      <alignment horizontal="left" vertical="center"/>
    </xf>
    <xf numFmtId="0" fontId="2" fillId="0" borderId="0" xfId="0" applyFont="1" applyFill="1"/>
    <xf numFmtId="2" fontId="7" fillId="0" borderId="27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2" fillId="0" borderId="0" xfId="0" applyNumberFormat="1" applyFont="1" applyFill="1"/>
    <xf numFmtId="0" fontId="14" fillId="0" borderId="0" xfId="0" applyFont="1" applyFill="1"/>
    <xf numFmtId="164" fontId="14" fillId="0" borderId="0" xfId="0" applyNumberFormat="1" applyFont="1" applyFill="1"/>
    <xf numFmtId="164" fontId="15" fillId="0" borderId="0" xfId="0" applyNumberFormat="1" applyFont="1" applyFill="1"/>
    <xf numFmtId="2" fontId="7" fillId="0" borderId="29" xfId="0" applyNumberFormat="1" applyFont="1" applyFill="1" applyBorder="1" applyAlignment="1" applyProtection="1">
      <alignment horizontal="left"/>
    </xf>
    <xf numFmtId="1" fontId="7" fillId="0" borderId="27" xfId="0" applyNumberFormat="1" applyFont="1" applyFill="1" applyBorder="1" applyAlignment="1" applyProtection="1">
      <alignment horizontal="center" vertical="center"/>
      <protection locked="0"/>
    </xf>
    <xf numFmtId="164" fontId="10" fillId="0" borderId="30" xfId="0" applyNumberFormat="1" applyFont="1" applyFill="1" applyBorder="1" applyAlignment="1" applyProtection="1"/>
    <xf numFmtId="164" fontId="10" fillId="0" borderId="31" xfId="0" applyNumberFormat="1" applyFont="1" applyFill="1" applyBorder="1" applyAlignment="1" applyProtection="1">
      <alignment horizontal="center"/>
    </xf>
    <xf numFmtId="164" fontId="14" fillId="0" borderId="0" xfId="0" applyNumberFormat="1" applyFont="1"/>
    <xf numFmtId="164" fontId="15" fillId="0" borderId="0" xfId="0" applyNumberFormat="1" applyFont="1"/>
    <xf numFmtId="0" fontId="14" fillId="0" borderId="0" xfId="0" applyFont="1"/>
    <xf numFmtId="164" fontId="10" fillId="0" borderId="29" xfId="0" applyNumberFormat="1" applyFont="1" applyFill="1" applyBorder="1" applyAlignment="1" applyProtection="1"/>
    <xf numFmtId="2" fontId="10" fillId="0" borderId="46" xfId="0" applyNumberFormat="1" applyFont="1" applyFill="1" applyBorder="1" applyAlignment="1" applyProtection="1">
      <alignment horizontal="left" vertical="center"/>
    </xf>
    <xf numFmtId="164" fontId="10" fillId="0" borderId="27" xfId="0" applyNumberFormat="1" applyFont="1" applyFill="1" applyBorder="1" applyAlignment="1" applyProtection="1">
      <protection locked="0"/>
    </xf>
    <xf numFmtId="164" fontId="10" fillId="0" borderId="27" xfId="0" applyNumberFormat="1" applyFont="1" applyFill="1" applyBorder="1" applyAlignment="1" applyProtection="1">
      <alignment horizontal="left" vertical="center"/>
    </xf>
    <xf numFmtId="164" fontId="10" fillId="0" borderId="27" xfId="0" applyNumberFormat="1" applyFont="1" applyFill="1" applyBorder="1" applyAlignment="1" applyProtection="1">
      <alignment horizontal="center"/>
    </xf>
    <xf numFmtId="0" fontId="12" fillId="0" borderId="0" xfId="0" applyFont="1"/>
    <xf numFmtId="0" fontId="10" fillId="0" borderId="27" xfId="0" applyFont="1" applyFill="1" applyBorder="1" applyAlignment="1">
      <alignment horizontal="center"/>
    </xf>
    <xf numFmtId="2" fontId="10" fillId="0" borderId="46" xfId="0" applyNumberFormat="1" applyFont="1" applyFill="1" applyBorder="1" applyAlignment="1" applyProtection="1">
      <alignment horizontal="left" vertical="center" wrapText="1"/>
    </xf>
    <xf numFmtId="0" fontId="16" fillId="0" borderId="0" xfId="0" applyFont="1"/>
    <xf numFmtId="164" fontId="2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Font="1" applyAlignment="1"/>
    <xf numFmtId="0" fontId="12" fillId="0" borderId="0" xfId="0" applyFont="1" applyAlignment="1"/>
    <xf numFmtId="1" fontId="10" fillId="0" borderId="17" xfId="0" applyNumberFormat="1" applyFont="1" applyFill="1" applyBorder="1" applyAlignment="1" applyProtection="1">
      <alignment horizontal="left"/>
      <protection locked="0"/>
    </xf>
    <xf numFmtId="1" fontId="10" fillId="0" borderId="47" xfId="0" applyNumberFormat="1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 applyFill="1" applyBorder="1" applyAlignment="1" applyProtection="1">
      <alignment horizontal="left" vertical="center" wrapText="1"/>
    </xf>
    <xf numFmtId="0" fontId="10" fillId="0" borderId="47" xfId="0" applyFont="1" applyFill="1" applyBorder="1" applyAlignment="1">
      <alignment horizontal="center"/>
    </xf>
    <xf numFmtId="164" fontId="10" fillId="0" borderId="48" xfId="0" applyNumberFormat="1" applyFont="1" applyFill="1" applyBorder="1" applyAlignment="1" applyProtection="1"/>
    <xf numFmtId="164" fontId="10" fillId="0" borderId="47" xfId="0" applyNumberFormat="1" applyFont="1" applyFill="1" applyBorder="1" applyAlignment="1" applyProtection="1">
      <protection locked="0"/>
    </xf>
    <xf numFmtId="164" fontId="10" fillId="0" borderId="47" xfId="0" applyNumberFormat="1" applyFont="1" applyFill="1" applyBorder="1" applyAlignment="1" applyProtection="1"/>
    <xf numFmtId="164" fontId="10" fillId="0" borderId="49" xfId="0" applyNumberFormat="1" applyFont="1" applyFill="1" applyBorder="1" applyAlignment="1" applyProtection="1">
      <alignment horizontal="center"/>
    </xf>
    <xf numFmtId="164" fontId="15" fillId="0" borderId="0" xfId="0" applyNumberFormat="1" applyFont="1" applyAlignment="1"/>
    <xf numFmtId="0" fontId="15" fillId="0" borderId="0" xfId="0" applyFont="1" applyAlignment="1"/>
    <xf numFmtId="0" fontId="16" fillId="0" borderId="0" xfId="0" applyFont="1" applyAlignment="1"/>
    <xf numFmtId="164" fontId="13" fillId="0" borderId="0" xfId="0" applyNumberFormat="1" applyFont="1" applyFill="1" applyBorder="1" applyAlignment="1" applyProtection="1">
      <protection locked="0"/>
    </xf>
    <xf numFmtId="164" fontId="17" fillId="0" borderId="0" xfId="0" applyNumberFormat="1" applyFont="1" applyFill="1" applyBorder="1" applyAlignment="1">
      <alignment horizontal="right"/>
    </xf>
    <xf numFmtId="164" fontId="13" fillId="0" borderId="7" xfId="0" applyNumberFormat="1" applyFont="1" applyFill="1" applyBorder="1" applyAlignment="1" applyProtection="1"/>
    <xf numFmtId="164" fontId="13" fillId="0" borderId="53" xfId="0" applyNumberFormat="1" applyFont="1" applyFill="1" applyBorder="1" applyAlignment="1" applyProtection="1">
      <alignment horizontal="center"/>
    </xf>
    <xf numFmtId="2" fontId="7" fillId="0" borderId="2" xfId="0" applyNumberFormat="1" applyFont="1" applyBorder="1"/>
    <xf numFmtId="2" fontId="7" fillId="0" borderId="57" xfId="0" applyNumberFormat="1" applyFont="1" applyBorder="1"/>
    <xf numFmtId="2" fontId="7" fillId="0" borderId="5" xfId="0" applyNumberFormat="1" applyFont="1" applyBorder="1" applyAlignment="1">
      <alignment horizontal="center"/>
    </xf>
    <xf numFmtId="0" fontId="3" fillId="0" borderId="0" xfId="0" applyFont="1" applyBorder="1"/>
    <xf numFmtId="164" fontId="6" fillId="0" borderId="7" xfId="0" applyNumberFormat="1" applyFont="1" applyBorder="1" applyProtection="1"/>
    <xf numFmtId="164" fontId="6" fillId="0" borderId="12" xfId="0" applyNumberFormat="1" applyFont="1" applyBorder="1" applyProtection="1"/>
    <xf numFmtId="164" fontId="6" fillId="0" borderId="13" xfId="0" applyNumberFormat="1" applyFont="1" applyBorder="1" applyAlignment="1" applyProtection="1">
      <alignment horizontal="center"/>
    </xf>
    <xf numFmtId="164" fontId="2" fillId="0" borderId="0" xfId="0" applyNumberFormat="1" applyFont="1" applyBorder="1"/>
    <xf numFmtId="164" fontId="3" fillId="0" borderId="0" xfId="0" applyNumberFormat="1" applyFont="1" applyBorder="1"/>
    <xf numFmtId="165" fontId="7" fillId="0" borderId="61" xfId="0" applyNumberFormat="1" applyFont="1" applyBorder="1"/>
    <xf numFmtId="165" fontId="7" fillId="0" borderId="62" xfId="0" applyNumberFormat="1" applyFont="1" applyBorder="1"/>
    <xf numFmtId="165" fontId="7" fillId="0" borderId="53" xfId="0" applyNumberFormat="1" applyFont="1" applyBorder="1" applyAlignment="1">
      <alignment horizontal="center"/>
    </xf>
    <xf numFmtId="0" fontId="7" fillId="0" borderId="0" xfId="0" applyFont="1" applyFill="1"/>
    <xf numFmtId="0" fontId="7" fillId="0" borderId="0" xfId="0" applyFont="1"/>
    <xf numFmtId="164" fontId="18" fillId="0" borderId="0" xfId="0" applyNumberFormat="1" applyFont="1" applyFill="1"/>
    <xf numFmtId="2" fontId="2" fillId="0" borderId="0" xfId="0" applyNumberFormat="1" applyFont="1" applyFill="1"/>
    <xf numFmtId="0" fontId="19" fillId="0" borderId="0" xfId="0" applyFont="1" applyFill="1"/>
    <xf numFmtId="0" fontId="3" fillId="0" borderId="0" xfId="0" applyFont="1" applyFill="1"/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 applyProtection="1"/>
    <xf numFmtId="0" fontId="18" fillId="0" borderId="0" xfId="0" applyFont="1" applyFill="1"/>
    <xf numFmtId="2" fontId="7" fillId="0" borderId="0" xfId="0" applyNumberFormat="1" applyFont="1" applyFill="1" applyBorder="1" applyAlignment="1" applyProtection="1">
      <alignment horizontal="left"/>
    </xf>
    <xf numFmtId="166" fontId="19" fillId="0" borderId="0" xfId="0" applyNumberFormat="1" applyFont="1" applyFill="1"/>
    <xf numFmtId="164" fontId="19" fillId="0" borderId="0" xfId="0" applyNumberFormat="1" applyFont="1" applyFill="1"/>
    <xf numFmtId="2" fontId="19" fillId="0" borderId="0" xfId="0" applyNumberFormat="1" applyFont="1" applyFill="1"/>
    <xf numFmtId="166" fontId="2" fillId="0" borderId="0" xfId="0" applyNumberFormat="1" applyFont="1" applyFill="1"/>
    <xf numFmtId="0" fontId="21" fillId="0" borderId="0" xfId="0" applyFont="1" applyFill="1"/>
    <xf numFmtId="0" fontId="2" fillId="0" borderId="0" xfId="0" applyFont="1" applyFill="1" applyBorder="1"/>
    <xf numFmtId="0" fontId="22" fillId="0" borderId="0" xfId="0" applyFont="1" applyFill="1"/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/>
    <xf numFmtId="0" fontId="7" fillId="0" borderId="23" xfId="0" applyFont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/>
    </xf>
    <xf numFmtId="0" fontId="7" fillId="0" borderId="26" xfId="0" applyFont="1" applyFill="1" applyBorder="1" applyAlignment="1" applyProtection="1">
      <alignment horizontal="left" vertical="center"/>
    </xf>
    <xf numFmtId="0" fontId="7" fillId="0" borderId="27" xfId="0" applyFont="1" applyFill="1" applyBorder="1" applyAlignment="1" applyProtection="1"/>
    <xf numFmtId="164" fontId="7" fillId="0" borderId="29" xfId="0" applyNumberFormat="1" applyFont="1" applyBorder="1" applyAlignment="1" applyProtection="1">
      <alignment horizontal="right"/>
    </xf>
    <xf numFmtId="0" fontId="7" fillId="0" borderId="27" xfId="0" applyFont="1" applyBorder="1" applyProtection="1"/>
    <xf numFmtId="164" fontId="7" fillId="0" borderId="27" xfId="0" applyNumberFormat="1" applyFont="1" applyBorder="1" applyProtection="1"/>
    <xf numFmtId="0" fontId="7" fillId="0" borderId="27" xfId="0" applyFont="1" applyBorder="1" applyAlignment="1" applyProtection="1">
      <alignment horizontal="right"/>
    </xf>
    <xf numFmtId="1" fontId="7" fillId="0" borderId="27" xfId="0" applyNumberFormat="1" applyFont="1" applyBorder="1" applyProtection="1"/>
    <xf numFmtId="2" fontId="7" fillId="0" borderId="27" xfId="0" applyNumberFormat="1" applyFont="1" applyBorder="1" applyProtection="1"/>
    <xf numFmtId="0" fontId="7" fillId="0" borderId="31" xfId="0" applyFont="1" applyBorder="1" applyAlignment="1" applyProtection="1">
      <alignment horizontal="right"/>
    </xf>
    <xf numFmtId="0" fontId="7" fillId="0" borderId="27" xfId="0" applyFont="1" applyBorder="1" applyAlignment="1" applyProtection="1">
      <alignment horizontal="right" wrapText="1"/>
    </xf>
    <xf numFmtId="164" fontId="7" fillId="0" borderId="27" xfId="0" applyNumberFormat="1" applyFont="1" applyBorder="1" applyAlignment="1" applyProtection="1">
      <alignment wrapText="1"/>
    </xf>
    <xf numFmtId="0" fontId="7" fillId="0" borderId="27" xfId="0" applyFont="1" applyBorder="1" applyAlignment="1" applyProtection="1">
      <alignment wrapText="1"/>
    </xf>
    <xf numFmtId="1" fontId="7" fillId="0" borderId="27" xfId="0" applyNumberFormat="1" applyFont="1" applyBorder="1" applyAlignment="1" applyProtection="1">
      <alignment wrapText="1"/>
    </xf>
    <xf numFmtId="2" fontId="7" fillId="0" borderId="27" xfId="0" applyNumberFormat="1" applyFont="1" applyBorder="1" applyAlignment="1" applyProtection="1">
      <alignment wrapText="1"/>
    </xf>
    <xf numFmtId="0" fontId="7" fillId="0" borderId="31" xfId="0" applyFont="1" applyBorder="1" applyAlignment="1" applyProtection="1">
      <alignment horizontal="right" wrapText="1"/>
    </xf>
    <xf numFmtId="0" fontId="3" fillId="0" borderId="0" xfId="0" applyFont="1" applyAlignment="1">
      <alignment wrapText="1"/>
    </xf>
    <xf numFmtId="2" fontId="7" fillId="0" borderId="33" xfId="0" applyNumberFormat="1" applyFont="1" applyFill="1" applyBorder="1" applyAlignment="1" applyProtection="1">
      <alignment horizontal="left" vertical="center"/>
    </xf>
    <xf numFmtId="0" fontId="11" fillId="0" borderId="27" xfId="0" applyFont="1" applyBorder="1" applyProtection="1"/>
    <xf numFmtId="164" fontId="11" fillId="0" borderId="27" xfId="0" applyNumberFormat="1" applyFont="1" applyBorder="1" applyProtection="1"/>
    <xf numFmtId="0" fontId="7" fillId="0" borderId="34" xfId="0" applyFont="1" applyFill="1" applyBorder="1" applyAlignment="1" applyProtection="1"/>
    <xf numFmtId="164" fontId="7" fillId="0" borderId="70" xfId="0" applyNumberFormat="1" applyFont="1" applyBorder="1" applyAlignment="1" applyProtection="1">
      <alignment horizontal="right"/>
    </xf>
    <xf numFmtId="2" fontId="7" fillId="0" borderId="34" xfId="0" applyNumberFormat="1" applyFont="1" applyBorder="1" applyProtection="1"/>
    <xf numFmtId="0" fontId="7" fillId="0" borderId="7" xfId="0" applyFont="1" applyBorder="1" applyProtection="1"/>
    <xf numFmtId="164" fontId="7" fillId="0" borderId="7" xfId="0" applyNumberFormat="1" applyFont="1" applyBorder="1" applyProtection="1"/>
    <xf numFmtId="0" fontId="7" fillId="0" borderId="7" xfId="0" applyFont="1" applyBorder="1" applyAlignment="1" applyProtection="1">
      <alignment horizontal="right"/>
    </xf>
    <xf numFmtId="1" fontId="7" fillId="0" borderId="34" xfId="0" applyNumberFormat="1" applyFont="1" applyBorder="1" applyProtection="1"/>
    <xf numFmtId="2" fontId="7" fillId="0" borderId="7" xfId="0" applyNumberFormat="1" applyFont="1" applyBorder="1" applyProtection="1"/>
    <xf numFmtId="0" fontId="7" fillId="0" borderId="13" xfId="0" applyFont="1" applyBorder="1" applyAlignment="1" applyProtection="1">
      <alignment horizontal="right"/>
    </xf>
    <xf numFmtId="0" fontId="6" fillId="0" borderId="44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vertical="center"/>
    </xf>
    <xf numFmtId="164" fontId="6" fillId="0" borderId="43" xfId="0" applyNumberFormat="1" applyFont="1" applyFill="1" applyBorder="1" applyAlignment="1" applyProtection="1">
      <alignment vertical="center"/>
    </xf>
    <xf numFmtId="0" fontId="13" fillId="0" borderId="43" xfId="0" applyFont="1" applyFill="1" applyBorder="1" applyAlignment="1" applyProtection="1">
      <alignment vertical="center"/>
    </xf>
    <xf numFmtId="164" fontId="13" fillId="0" borderId="43" xfId="0" applyNumberFormat="1" applyFont="1" applyFill="1" applyBorder="1" applyAlignment="1" applyProtection="1">
      <alignment vertical="center"/>
    </xf>
    <xf numFmtId="0" fontId="7" fillId="0" borderId="45" xfId="0" applyFont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vertical="center"/>
    </xf>
    <xf numFmtId="164" fontId="6" fillId="0" borderId="23" xfId="0" applyNumberFormat="1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vertical="center"/>
      <protection locked="0"/>
    </xf>
    <xf numFmtId="164" fontId="7" fillId="0" borderId="22" xfId="0" applyNumberFormat="1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horizontal="right" vertical="center"/>
      <protection locked="0"/>
    </xf>
    <xf numFmtId="164" fontId="7" fillId="0" borderId="23" xfId="0" applyNumberFormat="1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vertical="center"/>
      <protection locked="0"/>
    </xf>
    <xf numFmtId="1" fontId="7" fillId="0" borderId="23" xfId="0" applyNumberFormat="1" applyFont="1" applyBorder="1" applyAlignment="1" applyProtection="1">
      <alignment vertical="center"/>
    </xf>
    <xf numFmtId="2" fontId="7" fillId="0" borderId="23" xfId="0" applyNumberFormat="1" applyFont="1" applyBorder="1" applyAlignment="1" applyProtection="1">
      <alignment vertical="center"/>
    </xf>
    <xf numFmtId="2" fontId="7" fillId="0" borderId="23" xfId="0" applyNumberFormat="1" applyFont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vertical="center"/>
      <protection locked="0"/>
    </xf>
    <xf numFmtId="164" fontId="7" fillId="0" borderId="32" xfId="0" applyNumberFormat="1" applyFont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horizontal="right" vertical="center"/>
      <protection locked="0"/>
    </xf>
    <xf numFmtId="164" fontId="7" fillId="0" borderId="28" xfId="0" applyNumberFormat="1" applyFont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2" fontId="7" fillId="0" borderId="28" xfId="0" applyNumberFormat="1" applyFont="1" applyBorder="1" applyAlignment="1" applyProtection="1">
      <alignment vertical="center"/>
      <protection locked="0"/>
    </xf>
    <xf numFmtId="0" fontId="7" fillId="0" borderId="39" xfId="0" applyFont="1" applyBorder="1" applyAlignment="1" applyProtection="1">
      <alignment horizontal="right" vertical="center"/>
    </xf>
    <xf numFmtId="0" fontId="7" fillId="0" borderId="27" xfId="0" applyFont="1" applyBorder="1"/>
    <xf numFmtId="164" fontId="7" fillId="0" borderId="27" xfId="0" applyNumberFormat="1" applyFont="1" applyBorder="1"/>
    <xf numFmtId="0" fontId="7" fillId="0" borderId="27" xfId="0" applyFont="1" applyBorder="1" applyAlignment="1">
      <alignment horizontal="right"/>
    </xf>
    <xf numFmtId="2" fontId="7" fillId="0" borderId="27" xfId="0" applyNumberFormat="1" applyFont="1" applyBorder="1"/>
    <xf numFmtId="0" fontId="7" fillId="0" borderId="31" xfId="0" applyFont="1" applyBorder="1" applyAlignment="1">
      <alignment horizontal="right"/>
    </xf>
    <xf numFmtId="164" fontId="7" fillId="0" borderId="27" xfId="0" applyNumberFormat="1" applyFont="1" applyBorder="1" applyAlignment="1" applyProtection="1">
      <alignment horizontal="right"/>
    </xf>
    <xf numFmtId="2" fontId="7" fillId="0" borderId="26" xfId="0" applyNumberFormat="1" applyFont="1" applyFill="1" applyBorder="1" applyAlignment="1" applyProtection="1">
      <alignment horizontal="left" vertical="center"/>
    </xf>
    <xf numFmtId="0" fontId="7" fillId="0" borderId="27" xfId="0" applyFont="1" applyFill="1" applyBorder="1" applyProtection="1"/>
    <xf numFmtId="164" fontId="7" fillId="0" borderId="27" xfId="0" applyNumberFormat="1" applyFont="1" applyFill="1" applyBorder="1" applyProtection="1"/>
    <xf numFmtId="2" fontId="7" fillId="0" borderId="27" xfId="0" applyNumberFormat="1" applyFont="1" applyBorder="1" applyAlignment="1" applyProtection="1">
      <alignment horizontal="right"/>
    </xf>
    <xf numFmtId="0" fontId="7" fillId="0" borderId="31" xfId="0" applyFont="1" applyFill="1" applyBorder="1" applyAlignment="1" applyProtection="1">
      <alignment horizontal="right"/>
    </xf>
    <xf numFmtId="2" fontId="7" fillId="0" borderId="27" xfId="0" applyNumberFormat="1" applyFont="1" applyFill="1" applyBorder="1" applyAlignment="1" applyProtection="1"/>
    <xf numFmtId="2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/>
    <xf numFmtId="164" fontId="7" fillId="0" borderId="71" xfId="0" applyNumberFormat="1" applyFont="1" applyBorder="1" applyAlignment="1" applyProtection="1">
      <alignment horizontal="right"/>
    </xf>
    <xf numFmtId="164" fontId="7" fillId="0" borderId="7" xfId="0" applyNumberFormat="1" applyFont="1" applyFill="1" applyBorder="1" applyAlignment="1" applyProtection="1"/>
    <xf numFmtId="2" fontId="7" fillId="0" borderId="7" xfId="0" applyNumberFormat="1" applyFont="1" applyFill="1" applyBorder="1" applyAlignment="1" applyProtection="1"/>
    <xf numFmtId="0" fontId="7" fillId="0" borderId="13" xfId="0" applyFont="1" applyFill="1" applyBorder="1" applyAlignment="1" applyProtection="1">
      <alignment horizontal="right"/>
    </xf>
    <xf numFmtId="0" fontId="6" fillId="0" borderId="72" xfId="0" applyFont="1" applyFill="1" applyBorder="1" applyAlignment="1" applyProtection="1">
      <alignment horizontal="left" vertical="center"/>
    </xf>
    <xf numFmtId="0" fontId="6" fillId="0" borderId="73" xfId="0" applyFont="1" applyFill="1" applyBorder="1" applyAlignment="1" applyProtection="1">
      <alignment vertical="center"/>
    </xf>
    <xf numFmtId="164" fontId="6" fillId="0" borderId="73" xfId="0" applyNumberFormat="1" applyFont="1" applyFill="1" applyBorder="1" applyAlignment="1" applyProtection="1">
      <alignment vertical="center"/>
    </xf>
    <xf numFmtId="1" fontId="6" fillId="0" borderId="73" xfId="0" applyNumberFormat="1" applyFont="1" applyFill="1" applyBorder="1" applyAlignment="1" applyProtection="1">
      <alignment vertical="center"/>
    </xf>
    <xf numFmtId="2" fontId="6" fillId="0" borderId="73" xfId="0" applyNumberFormat="1" applyFont="1" applyFill="1" applyBorder="1" applyAlignment="1" applyProtection="1">
      <alignment vertical="center"/>
    </xf>
    <xf numFmtId="0" fontId="6" fillId="0" borderId="74" xfId="0" applyFont="1" applyFill="1" applyBorder="1" applyAlignment="1" applyProtection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164" fontId="7" fillId="0" borderId="2" xfId="0" applyNumberFormat="1" applyFont="1" applyBorder="1" applyAlignment="1">
      <alignment horizontal="right"/>
    </xf>
    <xf numFmtId="164" fontId="7" fillId="0" borderId="2" xfId="0" applyNumberFormat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right"/>
    </xf>
    <xf numFmtId="164" fontId="7" fillId="0" borderId="2" xfId="0" applyNumberFormat="1" applyFont="1" applyFill="1" applyBorder="1" applyAlignment="1" applyProtection="1"/>
    <xf numFmtId="0" fontId="7" fillId="0" borderId="2" xfId="0" applyFont="1" applyFill="1" applyBorder="1" applyAlignment="1" applyProtection="1"/>
    <xf numFmtId="2" fontId="7" fillId="0" borderId="2" xfId="0" applyNumberFormat="1" applyFont="1" applyFill="1" applyBorder="1" applyAlignment="1" applyProtection="1"/>
    <xf numFmtId="0" fontId="7" fillId="0" borderId="5" xfId="0" applyFont="1" applyFill="1" applyBorder="1" applyAlignment="1" applyProtection="1"/>
    <xf numFmtId="0" fontId="6" fillId="0" borderId="6" xfId="0" applyFont="1" applyBorder="1" applyAlignment="1" applyProtection="1">
      <alignment horizontal="left"/>
    </xf>
    <xf numFmtId="1" fontId="6" fillId="0" borderId="7" xfId="0" applyNumberFormat="1" applyFont="1" applyBorder="1" applyProtection="1"/>
    <xf numFmtId="2" fontId="6" fillId="0" borderId="7" xfId="0" applyNumberFormat="1" applyFont="1" applyBorder="1" applyProtection="1"/>
    <xf numFmtId="0" fontId="6" fillId="0" borderId="13" xfId="0" applyFont="1" applyFill="1" applyBorder="1" applyAlignment="1" applyProtection="1">
      <alignment horizontal="center"/>
    </xf>
    <xf numFmtId="0" fontId="7" fillId="0" borderId="75" xfId="0" applyFont="1" applyBorder="1"/>
    <xf numFmtId="0" fontId="7" fillId="0" borderId="61" xfId="0" applyFont="1" applyBorder="1"/>
    <xf numFmtId="2" fontId="7" fillId="0" borderId="61" xfId="0" applyNumberFormat="1" applyFont="1" applyBorder="1" applyAlignment="1">
      <alignment horizontal="right"/>
    </xf>
    <xf numFmtId="165" fontId="7" fillId="0" borderId="61" xfId="0" applyNumberFormat="1" applyFont="1" applyFill="1" applyBorder="1" applyAlignment="1" applyProtection="1">
      <alignment horizontal="left"/>
    </xf>
    <xf numFmtId="0" fontId="7" fillId="0" borderId="61" xfId="0" applyFont="1" applyFill="1" applyBorder="1" applyAlignment="1" applyProtection="1">
      <alignment horizontal="right"/>
    </xf>
    <xf numFmtId="2" fontId="7" fillId="0" borderId="61" xfId="0" applyNumberFormat="1" applyFont="1" applyFill="1" applyBorder="1" applyAlignment="1" applyProtection="1"/>
    <xf numFmtId="0" fontId="7" fillId="0" borderId="61" xfId="0" applyFont="1" applyFill="1" applyBorder="1" applyAlignment="1" applyProtection="1"/>
    <xf numFmtId="0" fontId="7" fillId="0" borderId="53" xfId="0" applyFont="1" applyFill="1" applyBorder="1" applyAlignment="1" applyProtection="1"/>
    <xf numFmtId="0" fontId="7" fillId="0" borderId="76" xfId="0" applyFont="1" applyFill="1" applyBorder="1" applyAlignment="1" applyProtection="1">
      <alignment horizontal="left"/>
    </xf>
    <xf numFmtId="0" fontId="7" fillId="0" borderId="76" xfId="0" applyFont="1" applyFill="1" applyBorder="1" applyAlignment="1" applyProtection="1"/>
    <xf numFmtId="1" fontId="7" fillId="0" borderId="26" xfId="0" applyNumberFormat="1" applyFont="1" applyFill="1" applyBorder="1" applyAlignment="1" applyProtection="1">
      <alignment horizontal="left" vertical="center"/>
    </xf>
    <xf numFmtId="2" fontId="7" fillId="0" borderId="26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/>
    <xf numFmtId="0" fontId="2" fillId="0" borderId="0" xfId="0" applyFont="1" applyFill="1" applyProtection="1"/>
    <xf numFmtId="0" fontId="0" fillId="0" borderId="0" xfId="0" applyFont="1" applyFill="1"/>
    <xf numFmtId="0" fontId="28" fillId="0" borderId="0" xfId="0" applyFont="1" applyFill="1" applyAlignment="1"/>
    <xf numFmtId="0" fontId="28" fillId="0" borderId="0" xfId="0" applyFont="1" applyFill="1" applyBorder="1" applyAlignment="1"/>
    <xf numFmtId="0" fontId="1" fillId="0" borderId="0" xfId="0" applyFont="1" applyFill="1" applyAlignment="1">
      <alignment wrapText="1"/>
    </xf>
    <xf numFmtId="0" fontId="28" fillId="0" borderId="0" xfId="0" applyFont="1" applyFill="1" applyAlignment="1">
      <alignment wrapText="1"/>
    </xf>
    <xf numFmtId="0" fontId="29" fillId="0" borderId="0" xfId="0" applyFont="1" applyBorder="1" applyAlignment="1">
      <alignment horizontal="center" wrapText="1"/>
    </xf>
    <xf numFmtId="0" fontId="5" fillId="0" borderId="0" xfId="0" applyFont="1" applyFill="1" applyAlignment="1" applyProtection="1"/>
    <xf numFmtId="0" fontId="2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wrapText="1"/>
    </xf>
    <xf numFmtId="2" fontId="2" fillId="0" borderId="0" xfId="0" applyNumberFormat="1" applyFont="1" applyFill="1" applyProtection="1"/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30" fillId="0" borderId="0" xfId="0" applyFont="1" applyFill="1"/>
    <xf numFmtId="0" fontId="30" fillId="0" borderId="98" xfId="0" applyFont="1" applyFill="1" applyBorder="1" applyAlignment="1" applyProtection="1">
      <alignment horizontal="center"/>
    </xf>
    <xf numFmtId="0" fontId="30" fillId="0" borderId="99" xfId="0" applyFont="1" applyFill="1" applyBorder="1" applyAlignment="1" applyProtection="1">
      <alignment horizontal="center"/>
    </xf>
    <xf numFmtId="0" fontId="30" fillId="0" borderId="100" xfId="0" applyFont="1" applyFill="1" applyBorder="1" applyAlignment="1" applyProtection="1">
      <alignment horizontal="center"/>
    </xf>
    <xf numFmtId="0" fontId="30" fillId="0" borderId="101" xfId="0" applyFont="1" applyFill="1" applyBorder="1" applyAlignment="1" applyProtection="1">
      <alignment horizontal="center"/>
    </xf>
    <xf numFmtId="0" fontId="31" fillId="0" borderId="102" xfId="0" applyFont="1" applyFill="1" applyBorder="1" applyAlignment="1">
      <alignment horizontal="left"/>
    </xf>
    <xf numFmtId="164" fontId="7" fillId="0" borderId="103" xfId="0" applyNumberFormat="1" applyFont="1" applyFill="1" applyBorder="1" applyAlignment="1"/>
    <xf numFmtId="164" fontId="7" fillId="0" borderId="104" xfId="0" applyNumberFormat="1" applyFont="1" applyFill="1" applyBorder="1" applyAlignment="1"/>
    <xf numFmtId="0" fontId="31" fillId="0" borderId="105" xfId="0" applyFont="1" applyFill="1" applyBorder="1" applyAlignment="1" applyProtection="1">
      <alignment horizontal="left"/>
    </xf>
    <xf numFmtId="164" fontId="7" fillId="0" borderId="106" xfId="0" applyNumberFormat="1" applyFont="1" applyFill="1" applyBorder="1" applyAlignment="1" applyProtection="1"/>
    <xf numFmtId="164" fontId="7" fillId="0" borderId="107" xfId="0" applyNumberFormat="1" applyFont="1" applyFill="1" applyBorder="1" applyAlignment="1"/>
    <xf numFmtId="164" fontId="7" fillId="0" borderId="107" xfId="0" applyNumberFormat="1" applyFont="1" applyFill="1" applyBorder="1" applyAlignment="1" applyProtection="1"/>
    <xf numFmtId="164" fontId="32" fillId="0" borderId="0" xfId="0" applyNumberFormat="1" applyFont="1" applyFill="1"/>
    <xf numFmtId="164" fontId="7" fillId="0" borderId="106" xfId="0" applyNumberFormat="1" applyFont="1" applyFill="1" applyBorder="1" applyAlignment="1"/>
    <xf numFmtId="164" fontId="10" fillId="0" borderId="106" xfId="0" applyNumberFormat="1" applyFont="1" applyFill="1" applyBorder="1" applyAlignment="1"/>
    <xf numFmtId="164" fontId="10" fillId="0" borderId="107" xfId="0" applyNumberFormat="1" applyFont="1" applyFill="1" applyBorder="1" applyAlignment="1"/>
    <xf numFmtId="164" fontId="10" fillId="0" borderId="106" xfId="0" applyNumberFormat="1" applyFont="1" applyFill="1" applyBorder="1" applyAlignment="1" applyProtection="1"/>
    <xf numFmtId="164" fontId="10" fillId="0" borderId="107" xfId="0" applyNumberFormat="1" applyFont="1" applyFill="1" applyBorder="1" applyAlignment="1" applyProtection="1"/>
    <xf numFmtId="0" fontId="31" fillId="0" borderId="108" xfId="0" applyFont="1" applyFill="1" applyBorder="1" applyAlignment="1" applyProtection="1">
      <alignment horizontal="left"/>
    </xf>
    <xf numFmtId="164" fontId="7" fillId="0" borderId="109" xfId="0" applyNumberFormat="1" applyFont="1" applyFill="1" applyBorder="1" applyAlignment="1" applyProtection="1"/>
    <xf numFmtId="0" fontId="31" fillId="0" borderId="84" xfId="0" applyFont="1" applyFill="1" applyBorder="1" applyAlignment="1" applyProtection="1">
      <alignment horizontal="left"/>
    </xf>
    <xf numFmtId="164" fontId="7" fillId="0" borderId="85" xfId="0" applyNumberFormat="1" applyFont="1" applyFill="1" applyBorder="1" applyAlignment="1" applyProtection="1"/>
    <xf numFmtId="164" fontId="7" fillId="0" borderId="92" xfId="0" applyNumberFormat="1" applyFont="1" applyFill="1" applyBorder="1" applyAlignment="1" applyProtection="1"/>
    <xf numFmtId="164" fontId="7" fillId="0" borderId="93" xfId="0" applyNumberFormat="1" applyFont="1" applyFill="1" applyBorder="1" applyAlignment="1" applyProtection="1"/>
    <xf numFmtId="0" fontId="7" fillId="0" borderId="77" xfId="0" applyFont="1" applyFill="1" applyBorder="1" applyAlignment="1">
      <alignment horizontal="center"/>
    </xf>
    <xf numFmtId="2" fontId="7" fillId="0" borderId="78" xfId="0" applyNumberFormat="1" applyFont="1" applyFill="1" applyBorder="1"/>
    <xf numFmtId="2" fontId="7" fillId="0" borderId="83" xfId="0" applyNumberFormat="1" applyFont="1" applyFill="1" applyBorder="1"/>
    <xf numFmtId="2" fontId="7" fillId="0" borderId="110" xfId="0" applyNumberFormat="1" applyFont="1" applyFill="1" applyBorder="1"/>
    <xf numFmtId="165" fontId="6" fillId="0" borderId="84" xfId="0" applyNumberFormat="1" applyFont="1" applyFill="1" applyBorder="1" applyAlignment="1" applyProtection="1">
      <alignment horizontal="center"/>
    </xf>
    <xf numFmtId="164" fontId="6" fillId="0" borderId="85" xfId="0" applyNumberFormat="1" applyFont="1" applyFill="1" applyBorder="1" applyProtection="1"/>
    <xf numFmtId="164" fontId="6" fillId="0" borderId="92" xfId="0" applyNumberFormat="1" applyFont="1" applyFill="1" applyBorder="1" applyProtection="1"/>
    <xf numFmtId="164" fontId="6" fillId="0" borderId="93" xfId="0" applyNumberFormat="1" applyFont="1" applyFill="1" applyBorder="1" applyProtection="1"/>
    <xf numFmtId="165" fontId="2" fillId="0" borderId="0" xfId="0" applyNumberFormat="1" applyFont="1" applyFill="1"/>
    <xf numFmtId="0" fontId="7" fillId="0" borderId="111" xfId="0" applyFont="1" applyFill="1" applyBorder="1" applyAlignment="1">
      <alignment horizontal="center"/>
    </xf>
    <xf numFmtId="2" fontId="7" fillId="0" borderId="112" xfId="0" applyNumberFormat="1" applyFont="1" applyFill="1" applyBorder="1"/>
    <xf numFmtId="2" fontId="7" fillId="0" borderId="113" xfId="0" applyNumberFormat="1" applyFont="1" applyFill="1" applyBorder="1"/>
    <xf numFmtId="2" fontId="7" fillId="0" borderId="114" xfId="0" applyNumberFormat="1" applyFont="1" applyFill="1" applyBorder="1"/>
    <xf numFmtId="2" fontId="7" fillId="0" borderId="0" xfId="0" applyNumberFormat="1" applyFont="1" applyFill="1"/>
    <xf numFmtId="10" fontId="2" fillId="0" borderId="0" xfId="1" applyNumberFormat="1" applyFont="1" applyFill="1"/>
    <xf numFmtId="9" fontId="2" fillId="0" borderId="0" xfId="1" applyFont="1" applyFill="1"/>
    <xf numFmtId="167" fontId="2" fillId="0" borderId="0" xfId="1" applyNumberFormat="1" applyFont="1" applyFill="1"/>
    <xf numFmtId="0" fontId="0" fillId="0" borderId="0" xfId="0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0" fontId="2" fillId="0" borderId="115" xfId="0" applyFont="1" applyFill="1" applyBorder="1" applyAlignment="1" applyProtection="1">
      <alignment wrapText="1"/>
    </xf>
    <xf numFmtId="0" fontId="2" fillId="0" borderId="115" xfId="0" applyFont="1" applyFill="1" applyBorder="1" applyProtection="1"/>
    <xf numFmtId="0" fontId="34" fillId="0" borderId="0" xfId="0" applyFont="1" applyFill="1"/>
    <xf numFmtId="0" fontId="8" fillId="0" borderId="121" xfId="0" applyFont="1" applyFill="1" applyBorder="1" applyAlignment="1">
      <alignment horizontal="center" vertical="center"/>
    </xf>
    <xf numFmtId="0" fontId="8" fillId="0" borderId="103" xfId="0" applyFont="1" applyFill="1" applyBorder="1" applyAlignment="1">
      <alignment horizontal="center" vertical="center"/>
    </xf>
    <xf numFmtId="0" fontId="8" fillId="0" borderId="103" xfId="0" applyFont="1" applyFill="1" applyBorder="1" applyAlignment="1">
      <alignment vertical="center"/>
    </xf>
    <xf numFmtId="0" fontId="8" fillId="0" borderId="122" xfId="0" applyFont="1" applyFill="1" applyBorder="1" applyAlignment="1" applyProtection="1">
      <alignment horizontal="center" vertical="center"/>
    </xf>
    <xf numFmtId="0" fontId="8" fillId="0" borderId="123" xfId="0" applyFont="1" applyFill="1" applyBorder="1" applyAlignment="1" applyProtection="1">
      <alignment horizontal="left" vertical="center"/>
    </xf>
    <xf numFmtId="0" fontId="8" fillId="0" borderId="119" xfId="0" applyFont="1" applyFill="1" applyBorder="1" applyAlignment="1">
      <alignment horizontal="center" vertical="center"/>
    </xf>
    <xf numFmtId="0" fontId="8" fillId="0" borderId="123" xfId="0" applyFont="1" applyFill="1" applyBorder="1" applyAlignment="1">
      <alignment vertical="center"/>
    </xf>
    <xf numFmtId="0" fontId="8" fillId="0" borderId="123" xfId="0" applyFont="1" applyFill="1" applyBorder="1" applyAlignment="1">
      <alignment horizontal="center" vertical="center"/>
    </xf>
    <xf numFmtId="0" fontId="8" fillId="0" borderId="119" xfId="0" applyFont="1" applyFill="1" applyBorder="1" applyAlignment="1">
      <alignment vertical="center"/>
    </xf>
    <xf numFmtId="0" fontId="8" fillId="0" borderId="123" xfId="0" applyFont="1" applyFill="1" applyBorder="1" applyAlignment="1" applyProtection="1">
      <alignment horizontal="center" vertical="center"/>
    </xf>
    <xf numFmtId="0" fontId="35" fillId="0" borderId="118" xfId="0" applyFont="1" applyFill="1" applyBorder="1" applyAlignment="1" applyProtection="1">
      <alignment horizontal="center"/>
    </xf>
    <xf numFmtId="0" fontId="35" fillId="0" borderId="119" xfId="0" applyFont="1" applyFill="1" applyBorder="1" applyAlignment="1" applyProtection="1">
      <alignment horizontal="center"/>
    </xf>
    <xf numFmtId="0" fontId="35" fillId="0" borderId="125" xfId="0" applyFont="1" applyFill="1" applyBorder="1" applyAlignment="1" applyProtection="1">
      <alignment horizontal="center"/>
    </xf>
    <xf numFmtId="1" fontId="35" fillId="0" borderId="106" xfId="0" applyNumberFormat="1" applyFont="1" applyFill="1" applyBorder="1" applyAlignment="1" applyProtection="1"/>
    <xf numFmtId="164" fontId="35" fillId="0" borderId="106" xfId="0" applyNumberFormat="1" applyFont="1" applyFill="1" applyBorder="1" applyAlignment="1" applyProtection="1"/>
    <xf numFmtId="2" fontId="35" fillId="0" borderId="106" xfId="0" applyNumberFormat="1" applyFont="1" applyFill="1" applyBorder="1" applyAlignment="1" applyProtection="1"/>
    <xf numFmtId="2" fontId="7" fillId="0" borderId="107" xfId="0" applyNumberFormat="1" applyFont="1" applyFill="1" applyBorder="1" applyAlignment="1" applyProtection="1"/>
    <xf numFmtId="1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1" fontId="35" fillId="0" borderId="106" xfId="0" applyNumberFormat="1" applyFont="1" applyFill="1" applyBorder="1" applyAlignment="1"/>
    <xf numFmtId="164" fontId="35" fillId="0" borderId="106" xfId="0" applyNumberFormat="1" applyFont="1" applyFill="1" applyBorder="1" applyAlignment="1"/>
    <xf numFmtId="2" fontId="35" fillId="0" borderId="106" xfId="0" applyNumberFormat="1" applyFont="1" applyFill="1" applyBorder="1" applyAlignment="1"/>
    <xf numFmtId="2" fontId="7" fillId="0" borderId="107" xfId="0" applyNumberFormat="1" applyFont="1" applyFill="1" applyBorder="1" applyAlignment="1"/>
    <xf numFmtId="1" fontId="7" fillId="0" borderId="107" xfId="0" applyNumberFormat="1" applyFont="1" applyFill="1" applyBorder="1" applyAlignment="1" applyProtection="1"/>
    <xf numFmtId="1" fontId="7" fillId="0" borderId="106" xfId="0" applyNumberFormat="1" applyFont="1" applyFill="1" applyBorder="1" applyAlignment="1"/>
    <xf numFmtId="1" fontId="35" fillId="0" borderId="85" xfId="0" applyNumberFormat="1" applyFont="1" applyFill="1" applyBorder="1" applyAlignment="1" applyProtection="1"/>
    <xf numFmtId="164" fontId="35" fillId="0" borderId="85" xfId="0" applyNumberFormat="1" applyFont="1" applyFill="1" applyBorder="1" applyAlignment="1" applyProtection="1"/>
    <xf numFmtId="2" fontId="35" fillId="0" borderId="85" xfId="0" applyNumberFormat="1" applyFont="1" applyFill="1" applyBorder="1" applyAlignment="1" applyProtection="1"/>
    <xf numFmtId="0" fontId="31" fillId="0" borderId="126" xfId="0" applyFont="1" applyFill="1" applyBorder="1" applyAlignment="1" applyProtection="1">
      <alignment horizontal="left"/>
    </xf>
    <xf numFmtId="1" fontId="35" fillId="0" borderId="127" xfId="0" applyNumberFormat="1" applyFont="1" applyFill="1" applyBorder="1" applyAlignment="1" applyProtection="1"/>
    <xf numFmtId="164" fontId="35" fillId="0" borderId="127" xfId="0" applyNumberFormat="1" applyFont="1" applyFill="1" applyBorder="1" applyAlignment="1" applyProtection="1"/>
    <xf numFmtId="2" fontId="35" fillId="0" borderId="127" xfId="0" applyNumberFormat="1" applyFont="1" applyFill="1" applyBorder="1" applyAlignment="1" applyProtection="1"/>
    <xf numFmtId="2" fontId="7" fillId="0" borderId="92" xfId="0" applyNumberFormat="1" applyFont="1" applyFill="1" applyBorder="1" applyAlignment="1" applyProtection="1"/>
    <xf numFmtId="1" fontId="7" fillId="0" borderId="92" xfId="0" applyNumberFormat="1" applyFont="1" applyFill="1" applyBorder="1" applyAlignment="1" applyProtection="1"/>
    <xf numFmtId="0" fontId="7" fillId="0" borderId="77" xfId="0" applyFont="1" applyFill="1" applyBorder="1"/>
    <xf numFmtId="1" fontId="35" fillId="0" borderId="78" xfId="0" applyNumberFormat="1" applyFont="1" applyFill="1" applyBorder="1" applyAlignment="1">
      <alignment horizontal="right"/>
    </xf>
    <xf numFmtId="2" fontId="35" fillId="0" borderId="78" xfId="0" applyNumberFormat="1" applyFont="1" applyFill="1" applyBorder="1" applyAlignment="1">
      <alignment horizontal="right"/>
    </xf>
    <xf numFmtId="1" fontId="35" fillId="0" borderId="78" xfId="0" applyNumberFormat="1" applyFont="1" applyFill="1" applyBorder="1"/>
    <xf numFmtId="2" fontId="35" fillId="0" borderId="78" xfId="0" applyNumberFormat="1" applyFont="1" applyFill="1" applyBorder="1" applyAlignment="1" applyProtection="1">
      <alignment horizontal="left"/>
    </xf>
    <xf numFmtId="1" fontId="35" fillId="0" borderId="78" xfId="0" applyNumberFormat="1" applyFont="1" applyFill="1" applyBorder="1" applyAlignment="1" applyProtection="1">
      <alignment horizontal="right"/>
    </xf>
    <xf numFmtId="2" fontId="7" fillId="0" borderId="78" xfId="0" applyNumberFormat="1" applyFont="1" applyFill="1" applyBorder="1" applyAlignment="1" applyProtection="1"/>
    <xf numFmtId="0" fontId="7" fillId="0" borderId="78" xfId="0" applyFont="1" applyFill="1" applyBorder="1" applyAlignment="1" applyProtection="1">
      <alignment horizontal="right"/>
    </xf>
    <xf numFmtId="0" fontId="7" fillId="0" borderId="78" xfId="0" applyFont="1" applyFill="1" applyBorder="1" applyAlignment="1" applyProtection="1"/>
    <xf numFmtId="1" fontId="7" fillId="0" borderId="78" xfId="0" applyNumberFormat="1" applyFont="1" applyFill="1" applyBorder="1" applyAlignment="1" applyProtection="1"/>
    <xf numFmtId="0" fontId="7" fillId="0" borderId="110" xfId="0" applyFont="1" applyFill="1" applyBorder="1" applyAlignment="1" applyProtection="1"/>
    <xf numFmtId="0" fontId="7" fillId="0" borderId="83" xfId="0" applyFont="1" applyFill="1" applyBorder="1"/>
    <xf numFmtId="2" fontId="7" fillId="0" borderId="78" xfId="0" applyNumberFormat="1" applyFont="1" applyFill="1" applyBorder="1" applyAlignment="1">
      <alignment horizontal="right"/>
    </xf>
    <xf numFmtId="0" fontId="7" fillId="0" borderId="78" xfId="0" applyFont="1" applyFill="1" applyBorder="1"/>
    <xf numFmtId="2" fontId="7" fillId="0" borderId="78" xfId="0" applyNumberFormat="1" applyFont="1" applyFill="1" applyBorder="1" applyAlignment="1" applyProtection="1">
      <alignment horizontal="left"/>
    </xf>
    <xf numFmtId="165" fontId="7" fillId="0" borderId="78" xfId="0" applyNumberFormat="1" applyFont="1" applyFill="1" applyBorder="1" applyAlignment="1" applyProtection="1"/>
    <xf numFmtId="2" fontId="7" fillId="0" borderId="78" xfId="0" applyNumberFormat="1" applyFont="1" applyFill="1" applyBorder="1" applyAlignment="1" applyProtection="1">
      <alignment horizontal="right"/>
    </xf>
    <xf numFmtId="0" fontId="6" fillId="0" borderId="84" xfId="0" applyFont="1" applyFill="1" applyBorder="1" applyAlignment="1" applyProtection="1">
      <alignment horizontal="left"/>
    </xf>
    <xf numFmtId="1" fontId="36" fillId="0" borderId="85" xfId="0" applyNumberFormat="1" applyFont="1" applyFill="1" applyBorder="1" applyAlignment="1" applyProtection="1">
      <alignment horizontal="right"/>
    </xf>
    <xf numFmtId="164" fontId="36" fillId="0" borderId="85" xfId="0" applyNumberFormat="1" applyFont="1" applyFill="1" applyBorder="1" applyAlignment="1" applyProtection="1">
      <alignment horizontal="right"/>
    </xf>
    <xf numFmtId="2" fontId="36" fillId="0" borderId="85" xfId="0" applyNumberFormat="1" applyFont="1" applyFill="1" applyBorder="1" applyAlignment="1" applyProtection="1">
      <alignment horizontal="right"/>
    </xf>
    <xf numFmtId="1" fontId="36" fillId="0" borderId="93" xfId="0" applyNumberFormat="1" applyFont="1" applyFill="1" applyBorder="1" applyAlignment="1" applyProtection="1">
      <alignment horizontal="right"/>
    </xf>
    <xf numFmtId="1" fontId="36" fillId="0" borderId="92" xfId="0" applyNumberFormat="1" applyFont="1" applyFill="1" applyBorder="1" applyAlignment="1" applyProtection="1">
      <alignment horizontal="right"/>
    </xf>
    <xf numFmtId="0" fontId="7" fillId="0" borderId="111" xfId="0" applyFont="1" applyFill="1" applyBorder="1"/>
    <xf numFmtId="1" fontId="35" fillId="0" borderId="112" xfId="0" applyNumberFormat="1" applyFont="1" applyFill="1" applyBorder="1" applyAlignment="1">
      <alignment horizontal="right"/>
    </xf>
    <xf numFmtId="0" fontId="35" fillId="0" borderId="112" xfId="0" applyFont="1" applyFill="1" applyBorder="1" applyAlignment="1">
      <alignment horizontal="right"/>
    </xf>
    <xf numFmtId="1" fontId="35" fillId="0" borderId="112" xfId="0" applyNumberFormat="1" applyFont="1" applyFill="1" applyBorder="1"/>
    <xf numFmtId="2" fontId="35" fillId="0" borderId="112" xfId="0" applyNumberFormat="1" applyFont="1" applyFill="1" applyBorder="1" applyAlignment="1" applyProtection="1">
      <alignment horizontal="left"/>
    </xf>
    <xf numFmtId="0" fontId="35" fillId="0" borderId="112" xfId="0" applyFont="1" applyFill="1" applyBorder="1" applyAlignment="1" applyProtection="1">
      <alignment horizontal="right"/>
    </xf>
    <xf numFmtId="2" fontId="7" fillId="0" borderId="112" xfId="0" applyNumberFormat="1" applyFont="1" applyFill="1" applyBorder="1" applyAlignment="1" applyProtection="1"/>
    <xf numFmtId="0" fontId="7" fillId="0" borderId="112" xfId="0" applyFont="1" applyFill="1" applyBorder="1" applyAlignment="1" applyProtection="1">
      <alignment horizontal="right"/>
    </xf>
    <xf numFmtId="0" fontId="7" fillId="0" borderId="112" xfId="0" applyFont="1" applyFill="1" applyBorder="1" applyAlignment="1" applyProtection="1"/>
    <xf numFmtId="0" fontId="7" fillId="0" borderId="114" xfId="0" applyFont="1" applyFill="1" applyBorder="1" applyAlignment="1" applyProtection="1"/>
    <xf numFmtId="0" fontId="7" fillId="0" borderId="113" xfId="0" applyFont="1" applyFill="1" applyBorder="1"/>
    <xf numFmtId="0" fontId="7" fillId="0" borderId="112" xfId="0" applyFont="1" applyFill="1" applyBorder="1" applyAlignment="1">
      <alignment horizontal="right"/>
    </xf>
    <xf numFmtId="0" fontId="7" fillId="0" borderId="112" xfId="0" applyFont="1" applyFill="1" applyBorder="1"/>
    <xf numFmtId="2" fontId="7" fillId="0" borderId="112" xfId="0" applyNumberFormat="1" applyFont="1" applyFill="1" applyBorder="1" applyAlignment="1" applyProtection="1">
      <alignment horizontal="left"/>
    </xf>
    <xf numFmtId="0" fontId="35" fillId="0" borderId="0" xfId="0" applyFont="1" applyFill="1"/>
    <xf numFmtId="0" fontId="35" fillId="0" borderId="76" xfId="0" applyFont="1" applyFill="1" applyBorder="1" applyAlignment="1" applyProtection="1">
      <alignment horizontal="left"/>
    </xf>
    <xf numFmtId="0" fontId="35" fillId="0" borderId="76" xfId="0" applyFont="1" applyFill="1" applyBorder="1" applyAlignment="1" applyProtection="1"/>
    <xf numFmtId="2" fontId="21" fillId="0" borderId="0" xfId="0" applyNumberFormat="1" applyFont="1" applyFill="1"/>
    <xf numFmtId="2" fontId="35" fillId="0" borderId="0" xfId="0" applyNumberFormat="1" applyFont="1" applyFill="1" applyBorder="1" applyAlignment="1" applyProtection="1"/>
    <xf numFmtId="0" fontId="35" fillId="0" borderId="0" xfId="0" applyFont="1" applyFill="1" applyBorder="1" applyAlignment="1" applyProtection="1"/>
    <xf numFmtId="165" fontId="21" fillId="0" borderId="0" xfId="0" applyNumberFormat="1" applyFont="1" applyFill="1"/>
    <xf numFmtId="164" fontId="21" fillId="0" borderId="0" xfId="0" applyNumberFormat="1" applyFont="1" applyFill="1"/>
    <xf numFmtId="165" fontId="37" fillId="0" borderId="0" xfId="0" applyNumberFormat="1" applyFont="1" applyFill="1"/>
    <xf numFmtId="2" fontId="37" fillId="0" borderId="0" xfId="0" applyNumberFormat="1" applyFont="1" applyFill="1"/>
    <xf numFmtId="1" fontId="7" fillId="0" borderId="107" xfId="0" applyNumberFormat="1" applyFont="1" applyFill="1" applyBorder="1" applyAlignment="1"/>
    <xf numFmtId="2" fontId="7" fillId="0" borderId="35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 wrapText="1"/>
    </xf>
    <xf numFmtId="1" fontId="10" fillId="0" borderId="33" xfId="0" applyNumberFormat="1" applyFont="1" applyFill="1" applyBorder="1" applyAlignment="1" applyProtection="1">
      <alignment horizontal="left" vertical="center"/>
      <protection locked="0"/>
    </xf>
    <xf numFmtId="1" fontId="10" fillId="0" borderId="35" xfId="0" applyNumberFormat="1" applyFont="1" applyFill="1" applyBorder="1" applyAlignment="1" applyProtection="1">
      <alignment horizontal="left" vertical="center"/>
      <protection locked="0"/>
    </xf>
    <xf numFmtId="2" fontId="7" fillId="0" borderId="34" xfId="0" applyNumberFormat="1" applyFont="1" applyFill="1" applyBorder="1" applyAlignment="1" applyProtection="1">
      <alignment horizontal="center" vertical="center"/>
    </xf>
    <xf numFmtId="2" fontId="7" fillId="0" borderId="28" xfId="0" applyNumberFormat="1" applyFont="1" applyFill="1" applyBorder="1" applyAlignment="1" applyProtection="1">
      <alignment horizontal="center" vertical="center"/>
    </xf>
    <xf numFmtId="2" fontId="7" fillId="0" borderId="34" xfId="0" applyNumberFormat="1" applyFont="1" applyFill="1" applyBorder="1" applyAlignment="1" applyProtection="1">
      <alignment horizontal="left" vertical="center"/>
    </xf>
    <xf numFmtId="2" fontId="7" fillId="0" borderId="28" xfId="0" applyNumberFormat="1" applyFont="1" applyFill="1" applyBorder="1" applyAlignment="1" applyProtection="1">
      <alignment horizontal="left" vertical="center"/>
    </xf>
    <xf numFmtId="1" fontId="7" fillId="0" borderId="33" xfId="0" applyNumberFormat="1" applyFont="1" applyFill="1" applyBorder="1" applyAlignment="1" applyProtection="1">
      <alignment horizontal="left" vertical="center"/>
      <protection locked="0"/>
    </xf>
    <xf numFmtId="1" fontId="7" fillId="0" borderId="35" xfId="0" applyNumberFormat="1" applyFont="1" applyFill="1" applyBorder="1" applyAlignment="1" applyProtection="1">
      <alignment horizontal="left" vertical="center"/>
      <protection locked="0"/>
    </xf>
    <xf numFmtId="2" fontId="7" fillId="0" borderId="7" xfId="0" applyNumberFormat="1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164" fontId="7" fillId="0" borderId="36" xfId="0" applyNumberFormat="1" applyFont="1" applyFill="1" applyBorder="1" applyAlignment="1" applyProtection="1">
      <alignment horizontal="center" vertical="center"/>
    </xf>
    <xf numFmtId="164" fontId="7" fillId="0" borderId="38" xfId="0" applyNumberFormat="1" applyFont="1" applyFill="1" applyBorder="1" applyAlignment="1" applyProtection="1">
      <alignment horizontal="center" vertical="center"/>
    </xf>
    <xf numFmtId="164" fontId="7" fillId="0" borderId="37" xfId="0" applyNumberFormat="1" applyFont="1" applyFill="1" applyBorder="1" applyAlignment="1" applyProtection="1">
      <alignment horizontal="center" vertical="center"/>
    </xf>
    <xf numFmtId="164" fontId="7" fillId="0" borderId="39" xfId="0" applyNumberFormat="1" applyFont="1" applyFill="1" applyBorder="1" applyAlignment="1" applyProtection="1">
      <alignment horizontal="center" vertical="center"/>
    </xf>
    <xf numFmtId="1" fontId="13" fillId="0" borderId="40" xfId="0" applyNumberFormat="1" applyFont="1" applyFill="1" applyBorder="1" applyAlignment="1" applyProtection="1">
      <alignment horizontal="center" vertical="center"/>
      <protection locked="0"/>
    </xf>
    <xf numFmtId="1" fontId="13" fillId="0" borderId="41" xfId="0" applyNumberFormat="1" applyFont="1" applyFill="1" applyBorder="1" applyAlignment="1" applyProtection="1">
      <alignment horizontal="center" vertical="center"/>
      <protection locked="0"/>
    </xf>
    <xf numFmtId="1" fontId="13" fillId="0" borderId="42" xfId="0" applyNumberFormat="1" applyFont="1" applyFill="1" applyBorder="1" applyAlignment="1" applyProtection="1">
      <alignment horizontal="center" vertical="center"/>
      <protection locked="0"/>
    </xf>
    <xf numFmtId="1" fontId="10" fillId="0" borderId="6" xfId="0" applyNumberFormat="1" applyFont="1" applyFill="1" applyBorder="1" applyAlignment="1" applyProtection="1">
      <alignment horizontal="left" vertical="center"/>
      <protection locked="0"/>
    </xf>
    <xf numFmtId="1" fontId="10" fillId="0" borderId="34" xfId="0" applyNumberFormat="1" applyFont="1" applyFill="1" applyBorder="1" applyAlignment="1" applyProtection="1">
      <alignment horizontal="center" vertical="center"/>
      <protection locked="0"/>
    </xf>
    <xf numFmtId="1" fontId="10" fillId="0" borderId="7" xfId="0" applyNumberFormat="1" applyFont="1" applyFill="1" applyBorder="1" applyAlignment="1" applyProtection="1">
      <alignment horizontal="center" vertical="center"/>
      <protection locked="0"/>
    </xf>
    <xf numFmtId="1" fontId="10" fillId="0" borderId="28" xfId="0" applyNumberFormat="1" applyFont="1" applyFill="1" applyBorder="1" applyAlignment="1" applyProtection="1">
      <alignment horizontal="center" vertical="center"/>
      <protection locked="0"/>
    </xf>
    <xf numFmtId="2" fontId="7" fillId="0" borderId="7" xfId="0" applyNumberFormat="1" applyFont="1" applyFill="1" applyBorder="1" applyAlignment="1" applyProtection="1">
      <alignment horizontal="left" vertical="center"/>
    </xf>
    <xf numFmtId="164" fontId="7" fillId="0" borderId="34" xfId="0" applyNumberFormat="1" applyFont="1" applyFill="1" applyBorder="1" applyAlignment="1" applyProtection="1">
      <alignment horizontal="center" vertical="center"/>
    </xf>
    <xf numFmtId="164" fontId="7" fillId="0" borderId="28" xfId="0" applyNumberFormat="1" applyFont="1" applyFill="1" applyBorder="1" applyAlignment="1" applyProtection="1">
      <alignment horizontal="center" vertical="center"/>
    </xf>
    <xf numFmtId="164" fontId="7" fillId="0" borderId="34" xfId="0" applyNumberFormat="1" applyFont="1" applyFill="1" applyBorder="1" applyAlignment="1" applyProtection="1">
      <alignment horizontal="right" vertical="center"/>
    </xf>
    <xf numFmtId="164" fontId="7" fillId="0" borderId="28" xfId="0" applyNumberFormat="1" applyFont="1" applyFill="1" applyBorder="1" applyAlignment="1" applyProtection="1">
      <alignment horizontal="right" vertical="center"/>
    </xf>
    <xf numFmtId="2" fontId="7" fillId="0" borderId="34" xfId="0" applyNumberFormat="1" applyFont="1" applyFill="1" applyBorder="1" applyAlignment="1" applyProtection="1">
      <alignment horizontal="left" vertical="center" wrapText="1"/>
    </xf>
    <xf numFmtId="2" fontId="7" fillId="0" borderId="28" xfId="0" applyNumberFormat="1" applyFont="1" applyFill="1" applyBorder="1" applyAlignment="1" applyProtection="1">
      <alignment horizontal="left" vertical="center" wrapText="1"/>
    </xf>
    <xf numFmtId="164" fontId="7" fillId="0" borderId="36" xfId="0" applyNumberFormat="1" applyFont="1" applyFill="1" applyBorder="1" applyAlignment="1" applyProtection="1">
      <alignment horizontal="center"/>
    </xf>
    <xf numFmtId="164" fontId="7" fillId="0" borderId="38" xfId="0" applyNumberFormat="1" applyFont="1" applyFill="1" applyBorder="1" applyAlignment="1" applyProtection="1">
      <alignment horizontal="center"/>
    </xf>
    <xf numFmtId="164" fontId="7" fillId="0" borderId="37" xfId="0" applyNumberFormat="1" applyFont="1" applyFill="1" applyBorder="1" applyAlignment="1" applyProtection="1">
      <alignment horizontal="center"/>
    </xf>
    <xf numFmtId="164" fontId="7" fillId="0" borderId="39" xfId="0" applyNumberFormat="1" applyFont="1" applyFill="1" applyBorder="1" applyAlignment="1" applyProtection="1">
      <alignment horizontal="center"/>
    </xf>
    <xf numFmtId="164" fontId="7" fillId="0" borderId="34" xfId="0" applyNumberFormat="1" applyFont="1" applyFill="1" applyBorder="1" applyAlignment="1" applyProtection="1">
      <alignment horizontal="right" vertical="center"/>
      <protection locked="0"/>
    </xf>
    <xf numFmtId="164" fontId="7" fillId="0" borderId="28" xfId="0" applyNumberFormat="1" applyFont="1" applyFill="1" applyBorder="1" applyAlignment="1" applyProtection="1">
      <alignment horizontal="right" vertical="center"/>
      <protection locked="0"/>
    </xf>
    <xf numFmtId="164" fontId="7" fillId="0" borderId="34" xfId="0" applyNumberFormat="1" applyFont="1" applyFill="1" applyBorder="1" applyAlignment="1" applyProtection="1">
      <alignment horizontal="center"/>
      <protection locked="0"/>
    </xf>
    <xf numFmtId="164" fontId="7" fillId="0" borderId="28" xfId="0" applyNumberFormat="1" applyFont="1" applyFill="1" applyBorder="1" applyAlignment="1" applyProtection="1">
      <alignment horizontal="center"/>
      <protection locked="0"/>
    </xf>
    <xf numFmtId="164" fontId="7" fillId="0" borderId="36" xfId="0" applyNumberFormat="1" applyFont="1" applyFill="1" applyBorder="1" applyAlignment="1" applyProtection="1">
      <alignment horizontal="right" vertical="center"/>
    </xf>
    <xf numFmtId="164" fontId="7" fillId="0" borderId="38" xfId="0" applyNumberFormat="1" applyFont="1" applyFill="1" applyBorder="1" applyAlignment="1" applyProtection="1">
      <alignment horizontal="right" vertical="center"/>
    </xf>
    <xf numFmtId="2" fontId="10" fillId="0" borderId="34" xfId="0" applyNumberFormat="1" applyFont="1" applyFill="1" applyBorder="1" applyAlignment="1" applyProtection="1">
      <alignment horizontal="left" vertical="center"/>
    </xf>
    <xf numFmtId="2" fontId="10" fillId="0" borderId="28" xfId="0" applyNumberFormat="1" applyFont="1" applyFill="1" applyBorder="1" applyAlignment="1" applyProtection="1">
      <alignment horizontal="left" vertical="center"/>
    </xf>
    <xf numFmtId="2" fontId="10" fillId="0" borderId="34" xfId="0" applyNumberFormat="1" applyFont="1" applyFill="1" applyBorder="1" applyAlignment="1" applyProtection="1">
      <alignment horizontal="center" vertical="center"/>
    </xf>
    <xf numFmtId="2" fontId="10" fillId="0" borderId="28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left" vertical="top" wrapText="1"/>
    </xf>
    <xf numFmtId="1" fontId="10" fillId="0" borderId="33" xfId="0" applyNumberFormat="1" applyFont="1" applyFill="1" applyBorder="1" applyAlignment="1" applyProtection="1">
      <alignment horizontal="left"/>
      <protection locked="0"/>
    </xf>
    <xf numFmtId="1" fontId="10" fillId="0" borderId="35" xfId="0" applyNumberFormat="1" applyFont="1" applyFill="1" applyBorder="1" applyAlignment="1" applyProtection="1">
      <alignment horizontal="left"/>
      <protection locked="0"/>
    </xf>
    <xf numFmtId="2" fontId="10" fillId="0" borderId="34" xfId="0" applyNumberFormat="1" applyFont="1" applyFill="1" applyBorder="1" applyAlignment="1" applyProtection="1">
      <alignment horizontal="left" vertical="center"/>
      <protection locked="0"/>
    </xf>
    <xf numFmtId="2" fontId="10" fillId="0" borderId="28" xfId="0" applyNumberFormat="1" applyFont="1" applyFill="1" applyBorder="1" applyAlignment="1" applyProtection="1">
      <alignment horizontal="left" vertical="center"/>
      <protection locked="0"/>
    </xf>
    <xf numFmtId="164" fontId="10" fillId="0" borderId="34" xfId="0" applyNumberFormat="1" applyFont="1" applyFill="1" applyBorder="1" applyAlignment="1" applyProtection="1">
      <alignment horizontal="right" vertical="center"/>
    </xf>
    <xf numFmtId="164" fontId="10" fillId="0" borderId="28" xfId="0" applyNumberFormat="1" applyFont="1" applyFill="1" applyBorder="1" applyAlignment="1" applyProtection="1">
      <alignment horizontal="right" vertical="center"/>
    </xf>
    <xf numFmtId="164" fontId="10" fillId="0" borderId="37" xfId="0" applyNumberFormat="1" applyFont="1" applyFill="1" applyBorder="1" applyAlignment="1" applyProtection="1">
      <alignment horizontal="center" vertical="center"/>
    </xf>
    <xf numFmtId="164" fontId="10" fillId="0" borderId="39" xfId="0" applyNumberFormat="1" applyFont="1" applyFill="1" applyBorder="1" applyAlignment="1" applyProtection="1">
      <alignment horizontal="center" vertical="center"/>
    </xf>
    <xf numFmtId="1" fontId="13" fillId="0" borderId="50" xfId="0" applyNumberFormat="1" applyFont="1" applyFill="1" applyBorder="1" applyAlignment="1" applyProtection="1">
      <alignment horizontal="center" vertical="center"/>
      <protection locked="0"/>
    </xf>
    <xf numFmtId="1" fontId="13" fillId="0" borderId="51" xfId="0" applyNumberFormat="1" applyFont="1" applyFill="1" applyBorder="1" applyAlignment="1" applyProtection="1">
      <alignment horizontal="center" vertical="center"/>
      <protection locked="0"/>
    </xf>
    <xf numFmtId="1" fontId="13" fillId="0" borderId="52" xfId="0" applyNumberFormat="1" applyFont="1" applyFill="1" applyBorder="1" applyAlignment="1" applyProtection="1">
      <alignment horizontal="center" vertical="center"/>
      <protection locked="0"/>
    </xf>
    <xf numFmtId="2" fontId="6" fillId="0" borderId="54" xfId="0" applyNumberFormat="1" applyFont="1" applyBorder="1" applyAlignment="1" applyProtection="1">
      <alignment horizontal="center" vertical="center"/>
    </xf>
    <xf numFmtId="2" fontId="6" fillId="0" borderId="55" xfId="0" applyNumberFormat="1" applyFont="1" applyBorder="1" applyAlignment="1" applyProtection="1">
      <alignment horizontal="center" vertical="center"/>
    </xf>
    <xf numFmtId="2" fontId="6" fillId="0" borderId="56" xfId="0" applyNumberFormat="1" applyFont="1" applyBorder="1" applyAlignment="1" applyProtection="1">
      <alignment horizontal="center" vertical="center"/>
    </xf>
    <xf numFmtId="2" fontId="6" fillId="0" borderId="26" xfId="0" applyNumberFormat="1" applyFont="1" applyBorder="1" applyAlignment="1" applyProtection="1">
      <alignment horizontal="center" vertical="center"/>
    </xf>
    <xf numFmtId="2" fontId="6" fillId="0" borderId="29" xfId="0" applyNumberFormat="1" applyFont="1" applyBorder="1" applyAlignment="1" applyProtection="1">
      <alignment horizontal="center" vertical="center"/>
    </xf>
    <xf numFmtId="2" fontId="6" fillId="0" borderId="27" xfId="0" applyNumberFormat="1" applyFont="1" applyBorder="1" applyAlignment="1" applyProtection="1">
      <alignment horizontal="center" vertical="center"/>
    </xf>
    <xf numFmtId="2" fontId="6" fillId="0" borderId="58" xfId="0" applyNumberFormat="1" applyFont="1" applyBorder="1" applyAlignment="1" applyProtection="1">
      <alignment horizontal="center" vertical="center"/>
    </xf>
    <xf numFmtId="2" fontId="6" fillId="0" borderId="59" xfId="0" applyNumberFormat="1" applyFont="1" applyBorder="1" applyAlignment="1" applyProtection="1">
      <alignment horizontal="center" vertical="center"/>
    </xf>
    <xf numFmtId="2" fontId="6" fillId="0" borderId="60" xfId="0" applyNumberFormat="1" applyFont="1" applyBorder="1" applyAlignment="1" applyProtection="1">
      <alignment horizontal="center" vertical="center"/>
    </xf>
    <xf numFmtId="164" fontId="10" fillId="0" borderId="34" xfId="0" applyNumberFormat="1" applyFont="1" applyFill="1" applyBorder="1" applyAlignment="1" applyProtection="1">
      <alignment horizontal="center"/>
      <protection locked="0"/>
    </xf>
    <xf numFmtId="164" fontId="10" fillId="0" borderId="28" xfId="0" applyNumberFormat="1" applyFont="1" applyFill="1" applyBorder="1" applyAlignment="1" applyProtection="1">
      <alignment horizontal="center"/>
      <protection locked="0"/>
    </xf>
    <xf numFmtId="164" fontId="10" fillId="0" borderId="34" xfId="0" applyNumberFormat="1" applyFont="1" applyFill="1" applyBorder="1" applyAlignment="1" applyProtection="1">
      <alignment horizontal="center"/>
    </xf>
    <xf numFmtId="164" fontId="10" fillId="0" borderId="28" xfId="0" applyNumberFormat="1" applyFont="1" applyFill="1" applyBorder="1" applyAlignment="1" applyProtection="1">
      <alignment horizontal="center"/>
    </xf>
    <xf numFmtId="164" fontId="10" fillId="0" borderId="36" xfId="0" applyNumberFormat="1" applyFont="1" applyFill="1" applyBorder="1" applyAlignment="1" applyProtection="1">
      <alignment horizontal="center"/>
    </xf>
    <xf numFmtId="164" fontId="10" fillId="0" borderId="38" xfId="0" applyNumberFormat="1" applyFont="1" applyFill="1" applyBorder="1" applyAlignment="1" applyProtection="1">
      <alignment horizontal="center"/>
    </xf>
    <xf numFmtId="164" fontId="10" fillId="0" borderId="34" xfId="0" applyNumberFormat="1" applyFont="1" applyFill="1" applyBorder="1" applyAlignment="1" applyProtection="1">
      <alignment horizontal="right" vertical="center"/>
      <protection locked="0"/>
    </xf>
    <xf numFmtId="164" fontId="10" fillId="0" borderId="28" xfId="0" applyNumberFormat="1" applyFont="1" applyFill="1" applyBorder="1" applyAlignment="1" applyProtection="1">
      <alignment horizontal="right" vertical="center"/>
      <protection locked="0"/>
    </xf>
    <xf numFmtId="2" fontId="7" fillId="0" borderId="33" xfId="0" applyNumberFormat="1" applyFont="1" applyFill="1" applyBorder="1" applyAlignment="1" applyProtection="1">
      <alignment horizontal="left" vertical="center"/>
    </xf>
    <xf numFmtId="0" fontId="7" fillId="0" borderId="35" xfId="0" applyFont="1" applyFill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63" xfId="0" applyFont="1" applyBorder="1" applyAlignment="1" applyProtection="1">
      <alignment horizontal="center" vertical="center"/>
    </xf>
    <xf numFmtId="0" fontId="8" fillId="0" borderId="6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65" xfId="0" applyFont="1" applyBorder="1" applyAlignment="1" applyProtection="1">
      <alignment horizontal="center" vertical="center"/>
    </xf>
    <xf numFmtId="0" fontId="8" fillId="0" borderId="66" xfId="0" applyFont="1" applyBorder="1" applyAlignment="1" applyProtection="1">
      <alignment horizontal="center" vertical="center"/>
    </xf>
    <xf numFmtId="0" fontId="8" fillId="0" borderId="68" xfId="0" applyFont="1" applyBorder="1" applyAlignment="1" applyProtection="1">
      <alignment horizontal="center" vertical="center"/>
    </xf>
    <xf numFmtId="0" fontId="8" fillId="0" borderId="69" xfId="0" applyFont="1" applyBorder="1" applyAlignment="1" applyProtection="1">
      <alignment horizontal="center" vertical="center"/>
    </xf>
    <xf numFmtId="0" fontId="8" fillId="0" borderId="67" xfId="0" applyFont="1" applyBorder="1" applyAlignment="1" applyProtection="1">
      <alignment horizontal="center" vertical="center"/>
    </xf>
    <xf numFmtId="0" fontId="8" fillId="0" borderId="89" xfId="0" applyFont="1" applyFill="1" applyBorder="1" applyAlignment="1" applyProtection="1">
      <alignment horizontal="center" vertical="center"/>
    </xf>
    <xf numFmtId="0" fontId="0" fillId="0" borderId="85" xfId="0" applyBorder="1"/>
    <xf numFmtId="0" fontId="0" fillId="0" borderId="95" xfId="0" applyBorder="1"/>
    <xf numFmtId="0" fontId="8" fillId="0" borderId="91" xfId="0" applyFont="1" applyFill="1" applyBorder="1" applyAlignment="1" applyProtection="1">
      <alignment horizontal="center" vertical="center"/>
    </xf>
    <xf numFmtId="0" fontId="0" fillId="0" borderId="93" xfId="0" applyBorder="1"/>
    <xf numFmtId="0" fontId="0" fillId="0" borderId="97" xfId="0" applyBorder="1"/>
    <xf numFmtId="0" fontId="8" fillId="0" borderId="95" xfId="0" applyFont="1" applyFill="1" applyBorder="1" applyAlignment="1" applyProtection="1">
      <alignment horizontal="center" vertical="center"/>
    </xf>
    <xf numFmtId="0" fontId="8" fillId="0" borderId="89" xfId="0" applyFont="1" applyFill="1" applyBorder="1" applyAlignment="1" applyProtection="1">
      <alignment horizontal="center" vertical="center" wrapText="1"/>
    </xf>
    <xf numFmtId="0" fontId="8" fillId="0" borderId="95" xfId="0" applyFont="1" applyFill="1" applyBorder="1" applyAlignment="1" applyProtection="1">
      <alignment horizontal="center" vertical="center" wrapText="1"/>
    </xf>
    <xf numFmtId="0" fontId="8" fillId="0" borderId="86" xfId="0" applyFont="1" applyFill="1" applyBorder="1" applyAlignment="1" applyProtection="1">
      <alignment horizontal="center" vertical="center"/>
    </xf>
    <xf numFmtId="0" fontId="8" fillId="0" borderId="87" xfId="0" applyFont="1" applyFill="1" applyBorder="1" applyAlignment="1" applyProtection="1">
      <alignment horizontal="center" vertical="center"/>
    </xf>
    <xf numFmtId="0" fontId="8" fillId="0" borderId="88" xfId="0" applyFont="1" applyFill="1" applyBorder="1" applyAlignment="1" applyProtection="1">
      <alignment horizontal="center" vertical="center"/>
    </xf>
    <xf numFmtId="0" fontId="8" fillId="0" borderId="85" xfId="0" applyFont="1" applyFill="1" applyBorder="1" applyAlignment="1" applyProtection="1">
      <alignment horizontal="center" vertical="center" wrapText="1"/>
    </xf>
    <xf numFmtId="0" fontId="8" fillId="0" borderId="90" xfId="0" applyFont="1" applyFill="1" applyBorder="1" applyAlignment="1" applyProtection="1">
      <alignment horizontal="center" vertical="center"/>
    </xf>
    <xf numFmtId="0" fontId="0" fillId="0" borderId="92" xfId="0" applyBorder="1"/>
    <xf numFmtId="0" fontId="0" fillId="0" borderId="96" xfId="0" applyBorder="1"/>
    <xf numFmtId="0" fontId="8" fillId="0" borderId="79" xfId="0" applyFont="1" applyFill="1" applyBorder="1" applyAlignment="1" applyProtection="1">
      <alignment horizontal="center" vertical="center"/>
    </xf>
    <xf numFmtId="0" fontId="0" fillId="0" borderId="80" xfId="0" applyBorder="1"/>
    <xf numFmtId="0" fontId="0" fillId="0" borderId="82" xfId="0" applyBorder="1"/>
    <xf numFmtId="0" fontId="8" fillId="0" borderId="83" xfId="0" applyFont="1" applyFill="1" applyBorder="1" applyAlignment="1" applyProtection="1">
      <alignment horizontal="center" vertical="center" wrapText="1"/>
    </xf>
    <xf numFmtId="0" fontId="8" fillId="0" borderId="78" xfId="0" applyFont="1" applyFill="1" applyBorder="1" applyAlignment="1" applyProtection="1">
      <alignment horizontal="center" vertical="center" wrapText="1"/>
    </xf>
    <xf numFmtId="0" fontId="8" fillId="0" borderId="80" xfId="0" applyFont="1" applyFill="1" applyBorder="1" applyAlignment="1" applyProtection="1">
      <alignment horizontal="center" vertical="center"/>
    </xf>
    <xf numFmtId="0" fontId="8" fillId="0" borderId="81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8" fillId="0" borderId="77" xfId="0" applyFont="1" applyFill="1" applyBorder="1" applyAlignment="1" applyProtection="1">
      <alignment horizontal="center" vertical="center"/>
    </xf>
    <xf numFmtId="0" fontId="0" fillId="0" borderId="84" xfId="0" applyBorder="1"/>
    <xf numFmtId="0" fontId="0" fillId="0" borderId="94" xfId="0" applyBorder="1"/>
    <xf numFmtId="0" fontId="4" fillId="0" borderId="0" xfId="0" applyFont="1" applyFill="1" applyBorder="1" applyAlignment="1">
      <alignment horizontal="center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8" fillId="0" borderId="110" xfId="0" applyFont="1" applyFill="1" applyBorder="1" applyAlignment="1">
      <alignment horizontal="center" vertical="center" wrapText="1"/>
    </xf>
    <xf numFmtId="0" fontId="8" fillId="0" borderId="93" xfId="0" applyFont="1" applyFill="1" applyBorder="1" applyAlignment="1">
      <alignment horizontal="center" vertical="center" wrapText="1"/>
    </xf>
    <xf numFmtId="0" fontId="8" fillId="0" borderId="124" xfId="0" applyFont="1" applyFill="1" applyBorder="1" applyAlignment="1">
      <alignment horizontal="center" vertical="center" wrapText="1"/>
    </xf>
    <xf numFmtId="0" fontId="8" fillId="0" borderId="116" xfId="0" applyFont="1" applyFill="1" applyBorder="1" applyAlignment="1" applyProtection="1">
      <alignment horizontal="center" vertical="center"/>
    </xf>
    <xf numFmtId="0" fontId="8" fillId="0" borderId="117" xfId="0" applyFont="1" applyFill="1" applyBorder="1" applyAlignment="1" applyProtection="1">
      <alignment horizontal="center" vertical="center"/>
    </xf>
    <xf numFmtId="0" fontId="8" fillId="0" borderId="117" xfId="0" applyFont="1" applyFill="1" applyBorder="1" applyAlignment="1">
      <alignment horizontal="center" vertical="center"/>
    </xf>
    <xf numFmtId="0" fontId="8" fillId="0" borderId="119" xfId="0" applyFont="1" applyFill="1" applyBorder="1" applyAlignment="1" applyProtection="1">
      <alignment horizontal="center" vertical="center"/>
    </xf>
    <xf numFmtId="0" fontId="8" fillId="0" borderId="65" xfId="0" applyFont="1" applyFill="1" applyBorder="1" applyAlignment="1" applyProtection="1">
      <alignment horizontal="center" vertical="center"/>
    </xf>
    <xf numFmtId="0" fontId="8" fillId="0" borderId="66" xfId="0" applyFont="1" applyFill="1" applyBorder="1" applyAlignment="1" applyProtection="1">
      <alignment horizontal="center" vertical="center"/>
    </xf>
    <xf numFmtId="0" fontId="8" fillId="0" borderId="68" xfId="0" applyFont="1" applyFill="1" applyBorder="1" applyAlignment="1" applyProtection="1">
      <alignment horizontal="center" vertical="center"/>
    </xf>
    <xf numFmtId="0" fontId="8" fillId="0" borderId="69" xfId="0" applyFont="1" applyFill="1" applyBorder="1" applyAlignment="1" applyProtection="1">
      <alignment horizontal="center" vertical="center"/>
    </xf>
    <xf numFmtId="0" fontId="8" fillId="0" borderId="67" xfId="0" applyFont="1" applyFill="1" applyBorder="1" applyAlignment="1" applyProtection="1">
      <alignment horizontal="center" vertical="center"/>
    </xf>
    <xf numFmtId="0" fontId="8" fillId="0" borderId="118" xfId="0" applyFont="1" applyFill="1" applyBorder="1" applyAlignment="1" applyProtection="1">
      <alignment horizontal="center" vertical="center"/>
    </xf>
    <xf numFmtId="0" fontId="8" fillId="0" borderId="119" xfId="0" applyFont="1" applyFill="1" applyBorder="1" applyAlignment="1">
      <alignment horizontal="center" vertical="center"/>
    </xf>
    <xf numFmtId="0" fontId="8" fillId="0" borderId="120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118" xfId="0" applyFont="1" applyFill="1" applyBorder="1" applyAlignment="1">
      <alignment horizontal="center" vertical="center"/>
    </xf>
    <xf numFmtId="0" fontId="8" fillId="0" borderId="63" xfId="0" applyFont="1" applyFill="1" applyBorder="1" applyAlignment="1" applyProtection="1">
      <alignment horizontal="center" vertical="center"/>
    </xf>
    <xf numFmtId="0" fontId="8" fillId="0" borderId="6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 2" xfId="1"/>
  </cellStyles>
  <dxfs count="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58;&#1054;&#1043;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tar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binsk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4">
          <cell r="A14" t="str">
            <v>Баганский</v>
          </cell>
        </row>
        <row r="15">
          <cell r="A15" t="str">
            <v>Барабинский</v>
          </cell>
        </row>
        <row r="16">
          <cell r="A16" t="str">
            <v>Болотнинский</v>
          </cell>
        </row>
        <row r="17">
          <cell r="A17" t="str">
            <v>Венгеровский</v>
          </cell>
        </row>
        <row r="18">
          <cell r="A18" t="str">
            <v>Доволенский</v>
          </cell>
        </row>
        <row r="19">
          <cell r="A19" t="str">
            <v>Здвинский</v>
          </cell>
        </row>
        <row r="20">
          <cell r="A20" t="str">
            <v>Искитимский</v>
          </cell>
        </row>
        <row r="21">
          <cell r="A21" t="str">
            <v>Карасукский</v>
          </cell>
        </row>
        <row r="22">
          <cell r="A22" t="str">
            <v>Каргатский</v>
          </cell>
        </row>
        <row r="23">
          <cell r="A23" t="str">
            <v>Колыванский</v>
          </cell>
        </row>
        <row r="24">
          <cell r="A24" t="str">
            <v>Коченевский</v>
          </cell>
        </row>
        <row r="25">
          <cell r="A25" t="str">
            <v>Кочковский</v>
          </cell>
        </row>
        <row r="26">
          <cell r="A26" t="str">
            <v>Краснозерский</v>
          </cell>
        </row>
        <row r="27">
          <cell r="A27" t="str">
            <v>Куйбышевский</v>
          </cell>
        </row>
        <row r="28">
          <cell r="A28" t="str">
            <v>Купинский</v>
          </cell>
        </row>
        <row r="29">
          <cell r="A29" t="str">
            <v>Кыштовский</v>
          </cell>
        </row>
        <row r="31">
          <cell r="A31" t="str">
            <v>Мошковский</v>
          </cell>
        </row>
        <row r="32">
          <cell r="A32" t="str">
            <v>Новосибирский</v>
          </cell>
        </row>
        <row r="33">
          <cell r="A33" t="str">
            <v>Ордынский</v>
          </cell>
        </row>
        <row r="34">
          <cell r="A34" t="str">
            <v>Северный</v>
          </cell>
        </row>
        <row r="36">
          <cell r="A36" t="str">
            <v>Татарский</v>
          </cell>
        </row>
        <row r="37">
          <cell r="A37" t="str">
            <v>Тогучинский</v>
          </cell>
        </row>
        <row r="38">
          <cell r="A38" t="str">
            <v>Убинский</v>
          </cell>
        </row>
        <row r="39">
          <cell r="A39" t="str">
            <v>Усть-Таркский</v>
          </cell>
        </row>
        <row r="40">
          <cell r="A40" t="str">
            <v>Чановский</v>
          </cell>
        </row>
        <row r="41">
          <cell r="A41" t="str">
            <v>Черепановский</v>
          </cell>
        </row>
        <row r="42">
          <cell r="A42" t="str">
            <v>Чистоозерный</v>
          </cell>
        </row>
        <row r="43">
          <cell r="A43" t="str">
            <v>Чулымский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/>
      <sheetData sheetId="1" refreshError="1">
        <row r="17">
          <cell r="G17">
            <v>0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/>
      <sheetData sheetId="1" refreshError="1">
        <row r="15">
          <cell r="G15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429"/>
  <sheetViews>
    <sheetView topLeftCell="A7" zoomScale="80" zoomScaleNormal="80" workbookViewId="0">
      <selection activeCell="F14" sqref="F14"/>
    </sheetView>
  </sheetViews>
  <sheetFormatPr defaultColWidth="9.625" defaultRowHeight="12.75" x14ac:dyDescent="0.2"/>
  <cols>
    <col min="1" max="1" width="3.75" style="5" customWidth="1"/>
    <col min="2" max="2" width="21.625" style="5" customWidth="1"/>
    <col min="3" max="3" width="51.625" style="5" customWidth="1"/>
    <col min="4" max="4" width="9.625" style="5" customWidth="1"/>
    <col min="5" max="14" width="13" style="5" customWidth="1"/>
    <col min="15" max="20" width="10.625" style="5" customWidth="1"/>
    <col min="21" max="21" width="11.125" style="5" customWidth="1"/>
    <col min="22" max="22" width="10" style="5" customWidth="1"/>
    <col min="23" max="24" width="7.625" style="5" customWidth="1"/>
    <col min="25" max="25" width="6.625" style="5" customWidth="1"/>
    <col min="26" max="26" width="7.625" style="5" customWidth="1"/>
    <col min="27" max="34" width="9.625" style="5"/>
    <col min="35" max="35" width="11.125" style="5" customWidth="1"/>
    <col min="36" max="16384" width="9.625" style="5"/>
  </cols>
  <sheetData>
    <row r="1" spans="1:36" ht="25.5" customHeight="1" x14ac:dyDescent="0.3">
      <c r="A1" s="1"/>
      <c r="B1" s="1"/>
      <c r="C1" s="1"/>
      <c r="D1" s="1"/>
      <c r="E1" s="1"/>
      <c r="F1" s="2"/>
      <c r="G1" s="2"/>
      <c r="H1" s="2"/>
      <c r="I1" s="2"/>
      <c r="J1" s="3"/>
      <c r="K1" s="1"/>
      <c r="L1" s="1"/>
      <c r="M1" s="1"/>
      <c r="N1" s="1"/>
      <c r="O1" s="4"/>
      <c r="P1" s="418" t="s">
        <v>0</v>
      </c>
      <c r="Q1" s="418"/>
      <c r="R1" s="418"/>
      <c r="S1" s="418"/>
      <c r="T1" s="418"/>
    </row>
    <row r="2" spans="1:36" ht="42" customHeight="1" x14ac:dyDescent="0.3">
      <c r="A2" s="6"/>
      <c r="B2" s="6"/>
      <c r="C2" s="6"/>
      <c r="D2" s="6"/>
      <c r="E2" s="6"/>
      <c r="F2" s="2"/>
      <c r="G2" s="2"/>
      <c r="H2" s="2"/>
      <c r="I2" s="2"/>
      <c r="J2" s="3"/>
      <c r="K2" s="1"/>
      <c r="L2" s="1"/>
      <c r="M2" s="1"/>
      <c r="N2" s="7"/>
      <c r="O2" s="8"/>
      <c r="P2" s="419" t="s">
        <v>1</v>
      </c>
      <c r="Q2" s="419"/>
      <c r="R2" s="419"/>
      <c r="S2" s="419"/>
      <c r="T2" s="419"/>
    </row>
    <row r="3" spans="1:36" ht="22.5" customHeight="1" x14ac:dyDescent="0.3">
      <c r="B3" s="9"/>
      <c r="C3" s="2"/>
      <c r="D3" s="10"/>
      <c r="E3" s="2"/>
      <c r="F3" s="2"/>
      <c r="G3" s="2"/>
      <c r="H3" s="2"/>
      <c r="I3" s="2"/>
      <c r="J3" s="3"/>
      <c r="K3" s="1"/>
      <c r="L3" s="1"/>
      <c r="M3" s="1"/>
      <c r="N3" s="1"/>
      <c r="O3" s="4"/>
      <c r="P3" s="418" t="s">
        <v>278</v>
      </c>
      <c r="Q3" s="418"/>
      <c r="R3" s="418"/>
      <c r="S3" s="418"/>
      <c r="T3" s="418"/>
    </row>
    <row r="4" spans="1:36" ht="22.5" customHeight="1" x14ac:dyDescent="0.3">
      <c r="A4" s="420" t="s">
        <v>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</row>
    <row r="5" spans="1:36" ht="22.5" customHeight="1" x14ac:dyDescent="0.3">
      <c r="A5" s="420" t="s">
        <v>3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</row>
    <row r="6" spans="1:36" ht="22.5" customHeight="1" x14ac:dyDescent="0.3">
      <c r="C6" s="11"/>
      <c r="D6" s="9"/>
      <c r="I6" s="12"/>
      <c r="Q6" s="13"/>
      <c r="R6" s="13"/>
      <c r="S6" s="14"/>
      <c r="T6" s="14"/>
    </row>
    <row r="7" spans="1:36" ht="17.25" thickBot="1" x14ac:dyDescent="0.3">
      <c r="C7" s="15" t="s">
        <v>4</v>
      </c>
      <c r="D7" s="1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16"/>
      <c r="S7" s="17"/>
      <c r="T7" s="17" t="s">
        <v>5</v>
      </c>
    </row>
    <row r="8" spans="1:36" ht="15.75" customHeight="1" thickTop="1" thickBot="1" x14ac:dyDescent="0.25">
      <c r="A8" s="421" t="s">
        <v>6</v>
      </c>
      <c r="B8" s="424" t="s">
        <v>7</v>
      </c>
      <c r="C8" s="427" t="s">
        <v>8</v>
      </c>
      <c r="D8" s="424" t="s">
        <v>9</v>
      </c>
      <c r="E8" s="424" t="s">
        <v>10</v>
      </c>
      <c r="F8" s="424" t="s">
        <v>11</v>
      </c>
      <c r="G8" s="424" t="s">
        <v>12</v>
      </c>
      <c r="H8" s="424" t="s">
        <v>13</v>
      </c>
      <c r="I8" s="445" t="s">
        <v>14</v>
      </c>
      <c r="J8" s="445"/>
      <c r="K8" s="445"/>
      <c r="L8" s="445"/>
      <c r="M8" s="445"/>
      <c r="N8" s="445"/>
      <c r="O8" s="445" t="s">
        <v>15</v>
      </c>
      <c r="P8" s="445"/>
      <c r="Q8" s="445"/>
      <c r="R8" s="445"/>
      <c r="S8" s="446"/>
      <c r="T8" s="447" t="s">
        <v>16</v>
      </c>
    </row>
    <row r="9" spans="1:36" ht="15" customHeight="1" thickBot="1" x14ac:dyDescent="0.25">
      <c r="A9" s="422"/>
      <c r="B9" s="425"/>
      <c r="C9" s="428"/>
      <c r="D9" s="425"/>
      <c r="E9" s="425"/>
      <c r="F9" s="425"/>
      <c r="G9" s="425"/>
      <c r="H9" s="425"/>
      <c r="I9" s="450" t="s">
        <v>17</v>
      </c>
      <c r="J9" s="450"/>
      <c r="K9" s="450"/>
      <c r="L9" s="451" t="s">
        <v>18</v>
      </c>
      <c r="M9" s="452"/>
      <c r="N9" s="431" t="s">
        <v>19</v>
      </c>
      <c r="O9" s="20"/>
      <c r="P9" s="20"/>
      <c r="Q9" s="20"/>
      <c r="R9" s="20"/>
      <c r="S9" s="21"/>
      <c r="T9" s="448"/>
      <c r="AJ9" s="22"/>
    </row>
    <row r="10" spans="1:36" ht="15" customHeight="1" x14ac:dyDescent="0.2">
      <c r="A10" s="422"/>
      <c r="B10" s="425"/>
      <c r="C10" s="428"/>
      <c r="D10" s="425"/>
      <c r="E10" s="425"/>
      <c r="F10" s="425"/>
      <c r="G10" s="425"/>
      <c r="H10" s="425"/>
      <c r="I10" s="430" t="s">
        <v>20</v>
      </c>
      <c r="J10" s="430" t="s">
        <v>21</v>
      </c>
      <c r="K10" s="430" t="s">
        <v>22</v>
      </c>
      <c r="L10" s="431" t="s">
        <v>23</v>
      </c>
      <c r="M10" s="431" t="s">
        <v>24</v>
      </c>
      <c r="N10" s="425"/>
      <c r="O10" s="20" t="s">
        <v>25</v>
      </c>
      <c r="P10" s="20" t="s">
        <v>26</v>
      </c>
      <c r="Q10" s="20" t="s">
        <v>27</v>
      </c>
      <c r="R10" s="20" t="s">
        <v>28</v>
      </c>
      <c r="S10" s="21" t="s">
        <v>29</v>
      </c>
      <c r="T10" s="448"/>
      <c r="AJ10" s="22"/>
    </row>
    <row r="11" spans="1:36" ht="27.75" customHeight="1" thickBot="1" x14ac:dyDescent="0.25">
      <c r="A11" s="423"/>
      <c r="B11" s="426"/>
      <c r="C11" s="429"/>
      <c r="D11" s="426"/>
      <c r="E11" s="426"/>
      <c r="F11" s="426"/>
      <c r="G11" s="426"/>
      <c r="H11" s="426"/>
      <c r="I11" s="429"/>
      <c r="J11" s="429"/>
      <c r="K11" s="429"/>
      <c r="L11" s="426"/>
      <c r="M11" s="426"/>
      <c r="N11" s="426"/>
      <c r="O11" s="20"/>
      <c r="P11" s="20"/>
      <c r="Q11" s="20"/>
      <c r="R11" s="20"/>
      <c r="S11" s="21"/>
      <c r="T11" s="449"/>
      <c r="AJ11" s="24"/>
    </row>
    <row r="12" spans="1:36" ht="17.25" thickBot="1" x14ac:dyDescent="0.3">
      <c r="A12" s="25">
        <v>1</v>
      </c>
      <c r="B12" s="26">
        <v>2</v>
      </c>
      <c r="C12" s="26">
        <v>3</v>
      </c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6">
        <v>10</v>
      </c>
      <c r="K12" s="26">
        <v>11</v>
      </c>
      <c r="L12" s="26">
        <v>12</v>
      </c>
      <c r="M12" s="26">
        <v>13</v>
      </c>
      <c r="N12" s="26">
        <v>14</v>
      </c>
      <c r="O12" s="26">
        <v>15</v>
      </c>
      <c r="P12" s="26">
        <v>16</v>
      </c>
      <c r="Q12" s="26">
        <v>17</v>
      </c>
      <c r="R12" s="26">
        <v>18</v>
      </c>
      <c r="S12" s="27">
        <v>19</v>
      </c>
      <c r="T12" s="28">
        <v>20</v>
      </c>
    </row>
    <row r="13" spans="1:36" ht="19.5" customHeight="1" x14ac:dyDescent="0.25">
      <c r="A13" s="441" t="s">
        <v>30</v>
      </c>
      <c r="B13" s="442"/>
      <c r="C13" s="442"/>
      <c r="D13" s="443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1"/>
    </row>
    <row r="14" spans="1:36" ht="19.5" customHeight="1" x14ac:dyDescent="0.25">
      <c r="A14" s="32">
        <v>1</v>
      </c>
      <c r="B14" s="33" t="s">
        <v>31</v>
      </c>
      <c r="C14" s="34" t="s">
        <v>32</v>
      </c>
      <c r="D14" s="35" t="s">
        <v>33</v>
      </c>
      <c r="E14" s="36">
        <v>12.502000000000001</v>
      </c>
      <c r="F14" s="36">
        <v>27.091000000000001</v>
      </c>
      <c r="G14" s="36">
        <f t="shared" ref="G14:G75" si="0">F14-E14</f>
        <v>14.589</v>
      </c>
      <c r="H14" s="37">
        <f t="shared" ref="H14:H72" si="1">I14+J14+K14+L14+M14</f>
        <v>14.589</v>
      </c>
      <c r="I14" s="38"/>
      <c r="J14" s="36">
        <f>G14</f>
        <v>14.589</v>
      </c>
      <c r="K14" s="36">
        <v>0</v>
      </c>
      <c r="L14" s="36">
        <v>0</v>
      </c>
      <c r="M14" s="36"/>
      <c r="N14" s="36">
        <v>0</v>
      </c>
      <c r="O14" s="36">
        <v>0</v>
      </c>
      <c r="P14" s="36">
        <f>H14</f>
        <v>14.589</v>
      </c>
      <c r="Q14" s="36">
        <v>0</v>
      </c>
      <c r="R14" s="36">
        <v>0</v>
      </c>
      <c r="S14" s="39">
        <v>0</v>
      </c>
      <c r="T14" s="40" t="s">
        <v>34</v>
      </c>
      <c r="U14" s="12"/>
      <c r="V14" s="41"/>
      <c r="W14" s="41"/>
      <c r="X14" s="3"/>
    </row>
    <row r="15" spans="1:36" s="11" customFormat="1" ht="38.25" customHeight="1" x14ac:dyDescent="0.25">
      <c r="A15" s="42">
        <v>2</v>
      </c>
      <c r="B15" s="43" t="s">
        <v>35</v>
      </c>
      <c r="C15" s="44" t="s">
        <v>36</v>
      </c>
      <c r="D15" s="45" t="s">
        <v>37</v>
      </c>
      <c r="E15" s="46">
        <v>14.108000000000001</v>
      </c>
      <c r="F15" s="46">
        <v>15.33</v>
      </c>
      <c r="G15" s="47">
        <f>F15-E15</f>
        <v>1.2219999999999995</v>
      </c>
      <c r="H15" s="37">
        <f t="shared" si="1"/>
        <v>1.2219999999999995</v>
      </c>
      <c r="I15" s="48"/>
      <c r="J15" s="47">
        <f>G15</f>
        <v>1.2219999999999995</v>
      </c>
      <c r="K15" s="47">
        <v>0</v>
      </c>
      <c r="L15" s="47">
        <v>0</v>
      </c>
      <c r="M15" s="47"/>
      <c r="N15" s="47">
        <v>0</v>
      </c>
      <c r="O15" s="47">
        <v>0</v>
      </c>
      <c r="P15" s="47">
        <f>H15</f>
        <v>1.2219999999999995</v>
      </c>
      <c r="Q15" s="47">
        <v>0</v>
      </c>
      <c r="R15" s="47">
        <v>0</v>
      </c>
      <c r="S15" s="49">
        <v>0</v>
      </c>
      <c r="T15" s="50" t="s">
        <v>38</v>
      </c>
      <c r="U15" s="12"/>
      <c r="V15" s="41"/>
      <c r="W15" s="41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</row>
    <row r="16" spans="1:36" ht="19.5" customHeight="1" x14ac:dyDescent="0.25">
      <c r="A16" s="432">
        <v>3</v>
      </c>
      <c r="B16" s="434" t="s">
        <v>35</v>
      </c>
      <c r="C16" s="436" t="s">
        <v>39</v>
      </c>
      <c r="D16" s="434" t="s">
        <v>37</v>
      </c>
      <c r="E16" s="51">
        <v>15.33</v>
      </c>
      <c r="F16" s="51">
        <v>58.664000000000001</v>
      </c>
      <c r="G16" s="51">
        <f>F16-E16</f>
        <v>43.334000000000003</v>
      </c>
      <c r="H16" s="51">
        <f>I16+J16+K16+L16+M16</f>
        <v>43.334000000000003</v>
      </c>
      <c r="I16" s="51">
        <v>0</v>
      </c>
      <c r="J16" s="51">
        <v>43.334000000000003</v>
      </c>
      <c r="K16" s="51">
        <v>0</v>
      </c>
      <c r="L16" s="51">
        <v>0</v>
      </c>
      <c r="M16" s="51"/>
      <c r="N16" s="51">
        <v>0</v>
      </c>
      <c r="O16" s="51">
        <v>4.5</v>
      </c>
      <c r="P16" s="51">
        <f>43.334-4.5</f>
        <v>38.834000000000003</v>
      </c>
      <c r="Q16" s="51">
        <v>0</v>
      </c>
      <c r="R16" s="51">
        <v>0</v>
      </c>
      <c r="S16" s="52">
        <v>0</v>
      </c>
      <c r="T16" s="53" t="s">
        <v>40</v>
      </c>
      <c r="U16" s="12"/>
      <c r="V16" s="41"/>
      <c r="W16" s="41"/>
      <c r="X16" s="3"/>
    </row>
    <row r="17" spans="1:33" ht="19.5" customHeight="1" x14ac:dyDescent="0.25">
      <c r="A17" s="433"/>
      <c r="B17" s="435"/>
      <c r="C17" s="437"/>
      <c r="D17" s="435"/>
      <c r="E17" s="51">
        <v>20.448</v>
      </c>
      <c r="F17" s="51">
        <v>27.600999999999999</v>
      </c>
      <c r="G17" s="51">
        <v>7.3</v>
      </c>
      <c r="H17" s="51">
        <f>I17+J17+K17+L17+M17</f>
        <v>7.3</v>
      </c>
      <c r="I17" s="54"/>
      <c r="J17" s="54">
        <v>7.3</v>
      </c>
      <c r="K17" s="54"/>
      <c r="L17" s="54"/>
      <c r="M17" s="54"/>
      <c r="N17" s="54"/>
      <c r="O17" s="54">
        <v>7.3</v>
      </c>
      <c r="P17" s="55"/>
      <c r="Q17" s="54"/>
      <c r="R17" s="54"/>
      <c r="S17" s="56"/>
      <c r="T17" s="40" t="s">
        <v>41</v>
      </c>
      <c r="U17" s="12"/>
      <c r="V17" s="41"/>
      <c r="W17" s="41"/>
      <c r="X17" s="3"/>
    </row>
    <row r="18" spans="1:33" ht="19.5" customHeight="1" x14ac:dyDescent="0.25">
      <c r="A18" s="438">
        <v>4</v>
      </c>
      <c r="B18" s="434" t="s">
        <v>42</v>
      </c>
      <c r="C18" s="469" t="s">
        <v>43</v>
      </c>
      <c r="D18" s="440"/>
      <c r="E18" s="51">
        <v>12</v>
      </c>
      <c r="F18" s="51">
        <v>17.242999999999999</v>
      </c>
      <c r="G18" s="467">
        <f>F18-E18+F19-E19</f>
        <v>21.029999999999994</v>
      </c>
      <c r="H18" s="467">
        <f t="shared" si="1"/>
        <v>21.03</v>
      </c>
      <c r="I18" s="467">
        <v>1.78</v>
      </c>
      <c r="J18" s="467">
        <v>19.25</v>
      </c>
      <c r="K18" s="465">
        <v>0</v>
      </c>
      <c r="L18" s="465">
        <v>0</v>
      </c>
      <c r="M18" s="465"/>
      <c r="N18" s="465">
        <v>0</v>
      </c>
      <c r="O18" s="467">
        <v>1.78</v>
      </c>
      <c r="P18" s="467">
        <v>19.25</v>
      </c>
      <c r="Q18" s="465"/>
      <c r="R18" s="465">
        <v>0</v>
      </c>
      <c r="S18" s="453">
        <v>0</v>
      </c>
      <c r="T18" s="455" t="s">
        <v>277</v>
      </c>
      <c r="U18" s="12"/>
      <c r="V18" s="41"/>
      <c r="W18" s="41"/>
      <c r="X18" s="3"/>
    </row>
    <row r="19" spans="1:33" ht="19.5" customHeight="1" x14ac:dyDescent="0.25">
      <c r="A19" s="439"/>
      <c r="B19" s="435"/>
      <c r="C19" s="470"/>
      <c r="D19" s="435"/>
      <c r="E19" s="51">
        <v>18.984000000000002</v>
      </c>
      <c r="F19" s="57">
        <v>34.771000000000001</v>
      </c>
      <c r="G19" s="468"/>
      <c r="H19" s="468"/>
      <c r="I19" s="468"/>
      <c r="J19" s="468"/>
      <c r="K19" s="466"/>
      <c r="L19" s="466"/>
      <c r="M19" s="466"/>
      <c r="N19" s="466"/>
      <c r="O19" s="468"/>
      <c r="P19" s="468"/>
      <c r="Q19" s="466"/>
      <c r="R19" s="466"/>
      <c r="S19" s="454"/>
      <c r="T19" s="456"/>
      <c r="U19" s="12"/>
      <c r="V19" s="41"/>
      <c r="W19" s="41"/>
      <c r="X19" s="3"/>
    </row>
    <row r="20" spans="1:33" s="63" customFormat="1" ht="19.5" customHeight="1" x14ac:dyDescent="0.25">
      <c r="A20" s="58">
        <v>5</v>
      </c>
      <c r="B20" s="59" t="s">
        <v>44</v>
      </c>
      <c r="C20" s="60" t="s">
        <v>45</v>
      </c>
      <c r="D20" s="61" t="s">
        <v>46</v>
      </c>
      <c r="E20" s="51">
        <v>12.226000000000001</v>
      </c>
      <c r="F20" s="57">
        <v>13.471</v>
      </c>
      <c r="G20" s="51">
        <f t="shared" si="0"/>
        <v>1.2449999999999992</v>
      </c>
      <c r="H20" s="51">
        <f t="shared" si="1"/>
        <v>1.2450000000000001</v>
      </c>
      <c r="I20" s="51"/>
      <c r="J20" s="51">
        <v>1.2450000000000001</v>
      </c>
      <c r="K20" s="51"/>
      <c r="L20" s="51"/>
      <c r="M20" s="51"/>
      <c r="N20" s="51"/>
      <c r="O20" s="51"/>
      <c r="P20" s="51">
        <v>1.2450000000000001</v>
      </c>
      <c r="Q20" s="62"/>
      <c r="R20" s="62"/>
      <c r="S20" s="52"/>
      <c r="T20" s="53" t="s">
        <v>38</v>
      </c>
      <c r="U20" s="12"/>
      <c r="V20" s="41"/>
      <c r="W20" s="41"/>
      <c r="X20" s="3"/>
    </row>
    <row r="21" spans="1:33" ht="19.5" customHeight="1" thickBot="1" x14ac:dyDescent="0.25">
      <c r="A21" s="457" t="s">
        <v>47</v>
      </c>
      <c r="B21" s="458"/>
      <c r="C21" s="458"/>
      <c r="D21" s="459"/>
      <c r="E21" s="64"/>
      <c r="F21" s="64"/>
      <c r="G21" s="64">
        <f t="shared" ref="G21:R21" si="2">SUM(G14:G20)</f>
        <v>88.72</v>
      </c>
      <c r="H21" s="64">
        <f t="shared" si="2"/>
        <v>88.720000000000013</v>
      </c>
      <c r="I21" s="64">
        <f t="shared" si="2"/>
        <v>1.78</v>
      </c>
      <c r="J21" s="64">
        <f t="shared" si="2"/>
        <v>86.940000000000012</v>
      </c>
      <c r="K21" s="64">
        <f t="shared" si="2"/>
        <v>0</v>
      </c>
      <c r="L21" s="64">
        <f t="shared" si="2"/>
        <v>0</v>
      </c>
      <c r="M21" s="64">
        <f t="shared" si="2"/>
        <v>0</v>
      </c>
      <c r="N21" s="64">
        <f t="shared" si="2"/>
        <v>0</v>
      </c>
      <c r="O21" s="64">
        <f t="shared" si="2"/>
        <v>13.58</v>
      </c>
      <c r="P21" s="64">
        <f t="shared" si="2"/>
        <v>75.140000000000015</v>
      </c>
      <c r="Q21" s="64">
        <f t="shared" si="2"/>
        <v>0</v>
      </c>
      <c r="R21" s="64">
        <f t="shared" si="2"/>
        <v>0</v>
      </c>
      <c r="S21" s="65">
        <f>SUM(S18)</f>
        <v>0</v>
      </c>
      <c r="T21" s="66"/>
      <c r="U21" s="12"/>
      <c r="V21" s="41"/>
      <c r="W21" s="41"/>
    </row>
    <row r="22" spans="1:33" ht="19.5" customHeight="1" x14ac:dyDescent="0.2">
      <c r="A22" s="441" t="s">
        <v>48</v>
      </c>
      <c r="B22" s="442"/>
      <c r="C22" s="442"/>
      <c r="D22" s="443"/>
      <c r="E22" s="67"/>
      <c r="F22" s="67"/>
      <c r="G22" s="68"/>
      <c r="H22" s="68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9"/>
      <c r="T22" s="70"/>
      <c r="U22" s="12"/>
      <c r="V22" s="41"/>
      <c r="W22" s="41"/>
    </row>
    <row r="23" spans="1:33" ht="19.5" customHeight="1" x14ac:dyDescent="0.25">
      <c r="A23" s="58">
        <v>6</v>
      </c>
      <c r="B23" s="71" t="s">
        <v>49</v>
      </c>
      <c r="C23" s="72" t="s">
        <v>50</v>
      </c>
      <c r="D23" s="45" t="s">
        <v>51</v>
      </c>
      <c r="E23" s="51">
        <v>2.1000000000000001E-2</v>
      </c>
      <c r="F23" s="51">
        <v>0.19900000000000001</v>
      </c>
      <c r="G23" s="51">
        <f>F23-E23</f>
        <v>0.17800000000000002</v>
      </c>
      <c r="H23" s="51">
        <f>I23+J23+K23+L23+M23</f>
        <v>0.17799999999999999</v>
      </c>
      <c r="I23" s="51">
        <v>0</v>
      </c>
      <c r="J23" s="51">
        <v>0.17799999999999999</v>
      </c>
      <c r="K23" s="51">
        <v>0</v>
      </c>
      <c r="L23" s="51">
        <v>0</v>
      </c>
      <c r="M23" s="51"/>
      <c r="N23" s="51">
        <v>0</v>
      </c>
      <c r="O23" s="51"/>
      <c r="P23" s="51"/>
      <c r="Q23" s="51">
        <v>0</v>
      </c>
      <c r="R23" s="51">
        <v>0.17799999999999999</v>
      </c>
      <c r="S23" s="52">
        <v>0</v>
      </c>
      <c r="T23" s="53" t="s">
        <v>52</v>
      </c>
      <c r="U23" s="12"/>
      <c r="V23" s="41"/>
      <c r="W23" s="41"/>
      <c r="X23" s="3"/>
    </row>
    <row r="24" spans="1:33" ht="19.5" customHeight="1" x14ac:dyDescent="0.25">
      <c r="A24" s="58">
        <v>7</v>
      </c>
      <c r="B24" s="71" t="s">
        <v>53</v>
      </c>
      <c r="C24" s="72" t="s">
        <v>54</v>
      </c>
      <c r="D24" s="45" t="s">
        <v>55</v>
      </c>
      <c r="E24" s="51">
        <v>0.28599999999999998</v>
      </c>
      <c r="F24" s="51">
        <v>1.772</v>
      </c>
      <c r="G24" s="51">
        <f t="shared" si="0"/>
        <v>1.486</v>
      </c>
      <c r="H24" s="51">
        <f t="shared" si="1"/>
        <v>1.486</v>
      </c>
      <c r="I24" s="51">
        <v>0</v>
      </c>
      <c r="J24" s="51">
        <v>1.486</v>
      </c>
      <c r="K24" s="51">
        <v>0</v>
      </c>
      <c r="L24" s="51">
        <v>0</v>
      </c>
      <c r="M24" s="51"/>
      <c r="N24" s="51">
        <v>0</v>
      </c>
      <c r="O24" s="51"/>
      <c r="P24" s="51">
        <v>1.486</v>
      </c>
      <c r="Q24" s="51">
        <v>0</v>
      </c>
      <c r="R24" s="51"/>
      <c r="S24" s="52">
        <v>0</v>
      </c>
      <c r="T24" s="53" t="s">
        <v>38</v>
      </c>
      <c r="U24" s="12"/>
      <c r="V24" s="41"/>
      <c r="W24" s="41"/>
      <c r="X24" s="3"/>
    </row>
    <row r="25" spans="1:33" s="74" customFormat="1" ht="19.5" customHeight="1" x14ac:dyDescent="0.25">
      <c r="A25" s="58">
        <v>8</v>
      </c>
      <c r="B25" s="71" t="s">
        <v>56</v>
      </c>
      <c r="C25" s="73" t="s">
        <v>57</v>
      </c>
      <c r="D25" s="45" t="s">
        <v>58</v>
      </c>
      <c r="E25" s="51">
        <v>0</v>
      </c>
      <c r="F25" s="51">
        <v>1.6839999999999999</v>
      </c>
      <c r="G25" s="51">
        <f t="shared" si="0"/>
        <v>1.6839999999999999</v>
      </c>
      <c r="H25" s="51">
        <f t="shared" si="1"/>
        <v>1.6839999999999999</v>
      </c>
      <c r="I25" s="51">
        <v>0</v>
      </c>
      <c r="J25" s="51">
        <v>1.6839999999999999</v>
      </c>
      <c r="K25" s="51">
        <v>0</v>
      </c>
      <c r="L25" s="51">
        <v>0</v>
      </c>
      <c r="M25" s="51"/>
      <c r="N25" s="51">
        <v>0</v>
      </c>
      <c r="O25" s="51">
        <v>0</v>
      </c>
      <c r="P25" s="51">
        <v>0</v>
      </c>
      <c r="Q25" s="51">
        <v>0</v>
      </c>
      <c r="R25" s="51">
        <f>H25</f>
        <v>1.6839999999999999</v>
      </c>
      <c r="S25" s="52">
        <v>0</v>
      </c>
      <c r="T25" s="53" t="s">
        <v>59</v>
      </c>
      <c r="U25" s="12"/>
      <c r="V25" s="41"/>
      <c r="W25" s="41"/>
    </row>
    <row r="26" spans="1:33" ht="19.5" customHeight="1" x14ac:dyDescent="0.25">
      <c r="A26" s="58">
        <v>9</v>
      </c>
      <c r="B26" s="71" t="s">
        <v>60</v>
      </c>
      <c r="C26" s="72" t="s">
        <v>61</v>
      </c>
      <c r="D26" s="75" t="s">
        <v>62</v>
      </c>
      <c r="E26" s="36">
        <v>0</v>
      </c>
      <c r="F26" s="36">
        <v>5.6139999999999999</v>
      </c>
      <c r="G26" s="36">
        <f t="shared" si="0"/>
        <v>5.6139999999999999</v>
      </c>
      <c r="H26" s="51">
        <f t="shared" si="1"/>
        <v>5.6139999999999999</v>
      </c>
      <c r="I26" s="36">
        <v>0</v>
      </c>
      <c r="J26" s="36">
        <v>5.6139999999999999</v>
      </c>
      <c r="K26" s="36">
        <f>5.9-5.9</f>
        <v>0</v>
      </c>
      <c r="L26" s="36">
        <v>0</v>
      </c>
      <c r="M26" s="36"/>
      <c r="N26" s="36">
        <v>0</v>
      </c>
      <c r="O26" s="36">
        <v>0</v>
      </c>
      <c r="P26" s="36">
        <v>0</v>
      </c>
      <c r="Q26" s="36">
        <v>0</v>
      </c>
      <c r="R26" s="51">
        <f>H26</f>
        <v>5.6139999999999999</v>
      </c>
      <c r="S26" s="39">
        <v>0</v>
      </c>
      <c r="T26" s="53" t="s">
        <v>59</v>
      </c>
      <c r="U26" s="12"/>
      <c r="V26" s="41"/>
      <c r="W26" s="41"/>
    </row>
    <row r="27" spans="1:33" ht="19.5" customHeight="1" x14ac:dyDescent="0.25">
      <c r="A27" s="58">
        <v>10</v>
      </c>
      <c r="B27" s="71" t="s">
        <v>63</v>
      </c>
      <c r="C27" s="73" t="s">
        <v>64</v>
      </c>
      <c r="D27" s="45" t="s">
        <v>65</v>
      </c>
      <c r="E27" s="51">
        <v>0</v>
      </c>
      <c r="F27" s="51">
        <v>27.855</v>
      </c>
      <c r="G27" s="51">
        <f t="shared" si="0"/>
        <v>27.855</v>
      </c>
      <c r="H27" s="51">
        <f t="shared" si="1"/>
        <v>27.855</v>
      </c>
      <c r="I27" s="51">
        <v>0</v>
      </c>
      <c r="J27" s="51">
        <f>6.011+1+2.5+2.04+1.149</f>
        <v>12.7</v>
      </c>
      <c r="K27" s="51"/>
      <c r="L27" s="51">
        <f>G27-J27</f>
        <v>15.155000000000001</v>
      </c>
      <c r="M27" s="51"/>
      <c r="N27" s="51">
        <v>0</v>
      </c>
      <c r="O27" s="51">
        <v>0</v>
      </c>
      <c r="P27" s="51">
        <v>0</v>
      </c>
      <c r="Q27" s="51">
        <v>0</v>
      </c>
      <c r="R27" s="51">
        <f t="shared" ref="R27:R62" si="3">H27</f>
        <v>27.855</v>
      </c>
      <c r="S27" s="52">
        <v>0</v>
      </c>
      <c r="T27" s="53" t="s">
        <v>59</v>
      </c>
      <c r="U27" s="12"/>
      <c r="V27" s="41"/>
      <c r="W27" s="41"/>
    </row>
    <row r="28" spans="1:33" ht="19.5" customHeight="1" x14ac:dyDescent="0.25">
      <c r="A28" s="58">
        <v>11</v>
      </c>
      <c r="B28" s="71" t="s">
        <v>66</v>
      </c>
      <c r="C28" s="72" t="s">
        <v>67</v>
      </c>
      <c r="D28" s="45" t="s">
        <v>68</v>
      </c>
      <c r="E28" s="51">
        <v>0</v>
      </c>
      <c r="F28" s="51">
        <v>8.2370000000000001</v>
      </c>
      <c r="G28" s="51">
        <f t="shared" si="0"/>
        <v>8.2370000000000001</v>
      </c>
      <c r="H28" s="51">
        <f t="shared" si="1"/>
        <v>8.2370000000000001</v>
      </c>
      <c r="I28" s="51">
        <v>0</v>
      </c>
      <c r="J28" s="51">
        <v>8.2370000000000001</v>
      </c>
      <c r="K28" s="51">
        <f>8.8-8.8</f>
        <v>0</v>
      </c>
      <c r="L28" s="51">
        <v>0</v>
      </c>
      <c r="M28" s="51"/>
      <c r="N28" s="51">
        <v>0</v>
      </c>
      <c r="O28" s="51">
        <v>0</v>
      </c>
      <c r="P28" s="51">
        <v>0</v>
      </c>
      <c r="Q28" s="51">
        <v>0</v>
      </c>
      <c r="R28" s="51">
        <f t="shared" si="3"/>
        <v>8.2370000000000001</v>
      </c>
      <c r="S28" s="52">
        <v>0</v>
      </c>
      <c r="T28" s="53" t="s">
        <v>59</v>
      </c>
      <c r="U28" s="12"/>
      <c r="V28" s="41"/>
      <c r="W28" s="41"/>
      <c r="X28" s="3"/>
    </row>
    <row r="29" spans="1:33" s="74" customFormat="1" ht="19.5" customHeight="1" x14ac:dyDescent="0.25">
      <c r="A29" s="432">
        <v>12</v>
      </c>
      <c r="B29" s="461" t="s">
        <v>69</v>
      </c>
      <c r="C29" s="436" t="s">
        <v>70</v>
      </c>
      <c r="D29" s="434" t="s">
        <v>71</v>
      </c>
      <c r="E29" s="51">
        <v>0.77600000000000002</v>
      </c>
      <c r="F29" s="51">
        <v>4.3849999999999998</v>
      </c>
      <c r="G29" s="51">
        <f t="shared" si="0"/>
        <v>3.609</v>
      </c>
      <c r="H29" s="51">
        <f t="shared" si="1"/>
        <v>3.609</v>
      </c>
      <c r="I29" s="51">
        <v>0</v>
      </c>
      <c r="J29" s="51">
        <f>F29-E29</f>
        <v>3.609</v>
      </c>
      <c r="K29" s="51"/>
      <c r="L29" s="51">
        <f>G29-J29</f>
        <v>0</v>
      </c>
      <c r="M29" s="51"/>
      <c r="N29" s="51">
        <v>0</v>
      </c>
      <c r="O29" s="51">
        <v>0</v>
      </c>
      <c r="P29" s="51">
        <v>0</v>
      </c>
      <c r="Q29" s="51">
        <v>0</v>
      </c>
      <c r="R29" s="51">
        <f t="shared" si="3"/>
        <v>3.609</v>
      </c>
      <c r="S29" s="52">
        <v>0</v>
      </c>
      <c r="T29" s="53" t="s">
        <v>52</v>
      </c>
      <c r="U29" s="12"/>
      <c r="V29" s="76"/>
      <c r="W29" s="76"/>
      <c r="X29" s="3"/>
    </row>
    <row r="30" spans="1:33" s="74" customFormat="1" ht="19.5" customHeight="1" x14ac:dyDescent="0.25">
      <c r="A30" s="460"/>
      <c r="B30" s="462"/>
      <c r="C30" s="464"/>
      <c r="D30" s="440"/>
      <c r="E30" s="51">
        <v>4.4139999999999997</v>
      </c>
      <c r="F30" s="51">
        <v>5.4219999999999997</v>
      </c>
      <c r="G30" s="51">
        <f t="shared" si="0"/>
        <v>1.008</v>
      </c>
      <c r="H30" s="51">
        <f t="shared" si="1"/>
        <v>1.008</v>
      </c>
      <c r="I30" s="51"/>
      <c r="J30" s="51">
        <f>5.422-4.414</f>
        <v>1.008</v>
      </c>
      <c r="K30" s="51"/>
      <c r="L30" s="51">
        <f>G30-J30</f>
        <v>0</v>
      </c>
      <c r="M30" s="51"/>
      <c r="N30" s="51"/>
      <c r="O30" s="51"/>
      <c r="P30" s="51"/>
      <c r="Q30" s="51"/>
      <c r="R30" s="51">
        <f t="shared" si="3"/>
        <v>1.008</v>
      </c>
      <c r="S30" s="52"/>
      <c r="T30" s="53" t="s">
        <v>52</v>
      </c>
      <c r="U30" s="12"/>
      <c r="V30" s="76"/>
      <c r="W30" s="76"/>
      <c r="X30" s="3"/>
    </row>
    <row r="31" spans="1:33" s="74" customFormat="1" ht="19.5" customHeight="1" x14ac:dyDescent="0.25">
      <c r="A31" s="433"/>
      <c r="B31" s="463"/>
      <c r="C31" s="437"/>
      <c r="D31" s="435"/>
      <c r="E31" s="51">
        <v>5.5010000000000003</v>
      </c>
      <c r="F31" s="51">
        <v>27.257999999999999</v>
      </c>
      <c r="G31" s="51">
        <f t="shared" si="0"/>
        <v>21.756999999999998</v>
      </c>
      <c r="H31" s="51">
        <f t="shared" si="1"/>
        <v>21.756999999999998</v>
      </c>
      <c r="I31" s="51"/>
      <c r="J31" s="51">
        <f>25.796-5.501+1.462</f>
        <v>21.756999999999998</v>
      </c>
      <c r="K31" s="51"/>
      <c r="L31" s="51">
        <f>G31-J31</f>
        <v>0</v>
      </c>
      <c r="M31" s="51"/>
      <c r="N31" s="51"/>
      <c r="O31" s="51"/>
      <c r="P31" s="51"/>
      <c r="Q31" s="51"/>
      <c r="R31" s="51">
        <f t="shared" si="3"/>
        <v>21.756999999999998</v>
      </c>
      <c r="S31" s="52"/>
      <c r="T31" s="53" t="s">
        <v>52</v>
      </c>
      <c r="U31" s="12"/>
      <c r="V31" s="76"/>
      <c r="W31" s="76"/>
      <c r="X31" s="3"/>
    </row>
    <row r="32" spans="1:33" s="78" customFormat="1" ht="19.5" customHeight="1" x14ac:dyDescent="0.25">
      <c r="A32" s="58">
        <v>13</v>
      </c>
      <c r="B32" s="71" t="s">
        <v>72</v>
      </c>
      <c r="C32" s="73" t="s">
        <v>73</v>
      </c>
      <c r="D32" s="61" t="s">
        <v>74</v>
      </c>
      <c r="E32" s="51">
        <v>0</v>
      </c>
      <c r="F32" s="51">
        <v>0.65800000000000003</v>
      </c>
      <c r="G32" s="51">
        <f>F32-E32</f>
        <v>0.65800000000000003</v>
      </c>
      <c r="H32" s="51">
        <f t="shared" si="1"/>
        <v>0.65800000000000003</v>
      </c>
      <c r="I32" s="51">
        <v>0</v>
      </c>
      <c r="J32" s="51">
        <v>0.65800000000000003</v>
      </c>
      <c r="K32" s="51">
        <v>0</v>
      </c>
      <c r="L32" s="51">
        <v>0</v>
      </c>
      <c r="M32" s="51"/>
      <c r="N32" s="51">
        <v>0</v>
      </c>
      <c r="O32" s="51">
        <v>0</v>
      </c>
      <c r="P32" s="51">
        <v>0</v>
      </c>
      <c r="Q32" s="51">
        <v>0</v>
      </c>
      <c r="R32" s="51">
        <f t="shared" si="3"/>
        <v>0.65800000000000003</v>
      </c>
      <c r="S32" s="52">
        <v>0</v>
      </c>
      <c r="T32" s="53" t="s">
        <v>59</v>
      </c>
      <c r="U32" s="77"/>
      <c r="V32" s="76"/>
      <c r="W32" s="76"/>
      <c r="X32" s="3"/>
      <c r="Y32" s="74"/>
      <c r="Z32" s="74"/>
      <c r="AA32" s="74"/>
      <c r="AB32" s="74"/>
      <c r="AC32" s="74"/>
      <c r="AD32" s="74"/>
      <c r="AE32" s="74"/>
      <c r="AF32" s="74"/>
      <c r="AG32" s="74"/>
    </row>
    <row r="33" spans="1:33" s="78" customFormat="1" ht="19.5" customHeight="1" x14ac:dyDescent="0.25">
      <c r="A33" s="58">
        <v>14</v>
      </c>
      <c r="B33" s="71" t="s">
        <v>75</v>
      </c>
      <c r="C33" s="73" t="s">
        <v>76</v>
      </c>
      <c r="D33" s="61" t="s">
        <v>77</v>
      </c>
      <c r="E33" s="51">
        <v>0.65800000000000003</v>
      </c>
      <c r="F33" s="51">
        <v>3.9009999999999998</v>
      </c>
      <c r="G33" s="51">
        <f>F33-E33</f>
        <v>3.2429999999999999</v>
      </c>
      <c r="H33" s="51">
        <f>I33+J33+K33+L33+M33</f>
        <v>3.2429999999999999</v>
      </c>
      <c r="I33" s="51">
        <v>0</v>
      </c>
      <c r="J33" s="51">
        <v>3.2429999999999999</v>
      </c>
      <c r="K33" s="51"/>
      <c r="L33" s="51"/>
      <c r="M33" s="51"/>
      <c r="N33" s="51"/>
      <c r="O33" s="51"/>
      <c r="P33" s="51"/>
      <c r="Q33" s="51"/>
      <c r="R33" s="51">
        <f t="shared" si="3"/>
        <v>3.2429999999999999</v>
      </c>
      <c r="S33" s="52"/>
      <c r="T33" s="53" t="s">
        <v>59</v>
      </c>
      <c r="U33" s="79"/>
      <c r="V33" s="80"/>
      <c r="W33" s="80"/>
      <c r="X33" s="3"/>
      <c r="Y33" s="74"/>
      <c r="Z33" s="74"/>
      <c r="AA33" s="74"/>
      <c r="AB33" s="74"/>
      <c r="AC33" s="74"/>
      <c r="AD33" s="74"/>
      <c r="AE33" s="74"/>
      <c r="AF33" s="74"/>
      <c r="AG33" s="74"/>
    </row>
    <row r="34" spans="1:33" ht="19.5" customHeight="1" x14ac:dyDescent="0.25">
      <c r="A34" s="432">
        <v>15</v>
      </c>
      <c r="B34" s="461" t="s">
        <v>78</v>
      </c>
      <c r="C34" s="436" t="s">
        <v>79</v>
      </c>
      <c r="D34" s="434" t="s">
        <v>80</v>
      </c>
      <c r="E34" s="51">
        <v>0</v>
      </c>
      <c r="F34" s="51">
        <v>1.099</v>
      </c>
      <c r="G34" s="467">
        <f>F34-E34+F35-E35</f>
        <v>2.6469999999999998</v>
      </c>
      <c r="H34" s="467">
        <f t="shared" si="1"/>
        <v>2.6469999999999998</v>
      </c>
      <c r="I34" s="475"/>
      <c r="J34" s="475">
        <v>2.6469999999999998</v>
      </c>
      <c r="K34" s="477"/>
      <c r="L34" s="477"/>
      <c r="M34" s="477"/>
      <c r="N34" s="477"/>
      <c r="O34" s="477"/>
      <c r="P34" s="477"/>
      <c r="Q34" s="467"/>
      <c r="R34" s="467">
        <f t="shared" si="3"/>
        <v>2.6469999999999998</v>
      </c>
      <c r="S34" s="471"/>
      <c r="T34" s="473" t="s">
        <v>59</v>
      </c>
      <c r="U34" s="12"/>
      <c r="V34" s="41"/>
      <c r="W34" s="41"/>
    </row>
    <row r="35" spans="1:33" ht="19.5" customHeight="1" x14ac:dyDescent="0.25">
      <c r="A35" s="433"/>
      <c r="B35" s="463"/>
      <c r="C35" s="437"/>
      <c r="D35" s="435"/>
      <c r="E35" s="51">
        <v>1.129</v>
      </c>
      <c r="F35" s="51">
        <v>2.677</v>
      </c>
      <c r="G35" s="468"/>
      <c r="H35" s="468"/>
      <c r="I35" s="476"/>
      <c r="J35" s="476"/>
      <c r="K35" s="478"/>
      <c r="L35" s="478"/>
      <c r="M35" s="478"/>
      <c r="N35" s="478"/>
      <c r="O35" s="478"/>
      <c r="P35" s="478"/>
      <c r="Q35" s="468"/>
      <c r="R35" s="468"/>
      <c r="S35" s="472"/>
      <c r="T35" s="474"/>
      <c r="U35" s="12"/>
      <c r="V35" s="41"/>
      <c r="W35" s="41"/>
    </row>
    <row r="36" spans="1:33" ht="19.5" customHeight="1" x14ac:dyDescent="0.25">
      <c r="A36" s="432">
        <v>16</v>
      </c>
      <c r="B36" s="461" t="s">
        <v>81</v>
      </c>
      <c r="C36" s="436" t="s">
        <v>82</v>
      </c>
      <c r="D36" s="434" t="s">
        <v>83</v>
      </c>
      <c r="E36" s="51">
        <v>0</v>
      </c>
      <c r="F36" s="51">
        <v>2.2669999999999999</v>
      </c>
      <c r="G36" s="467">
        <f>F36-E36+F37-E37</f>
        <v>2.9689999999999999</v>
      </c>
      <c r="H36" s="467">
        <f t="shared" si="1"/>
        <v>2.9689999999999999</v>
      </c>
      <c r="I36" s="475">
        <v>0</v>
      </c>
      <c r="J36" s="475">
        <v>1.3220000000000001</v>
      </c>
      <c r="K36" s="475">
        <f>2.267-1.322</f>
        <v>0.94499999999999984</v>
      </c>
      <c r="L36" s="475">
        <f>G36-K36-J36</f>
        <v>0.70199999999999996</v>
      </c>
      <c r="M36" s="477"/>
      <c r="N36" s="477">
        <v>0</v>
      </c>
      <c r="O36" s="477">
        <v>0</v>
      </c>
      <c r="P36" s="477">
        <v>0</v>
      </c>
      <c r="Q36" s="467">
        <v>0</v>
      </c>
      <c r="R36" s="467">
        <v>2.2669999999999999</v>
      </c>
      <c r="S36" s="479">
        <v>0.70199999999999996</v>
      </c>
      <c r="T36" s="455" t="s">
        <v>59</v>
      </c>
      <c r="U36" s="12"/>
      <c r="V36" s="41"/>
      <c r="W36" s="41"/>
    </row>
    <row r="37" spans="1:33" ht="19.5" customHeight="1" x14ac:dyDescent="0.25">
      <c r="A37" s="433"/>
      <c r="B37" s="463"/>
      <c r="C37" s="437"/>
      <c r="D37" s="435"/>
      <c r="E37" s="51">
        <v>2.3119999999999998</v>
      </c>
      <c r="F37" s="51">
        <v>3.0139999999999998</v>
      </c>
      <c r="G37" s="468"/>
      <c r="H37" s="468"/>
      <c r="I37" s="476"/>
      <c r="J37" s="476"/>
      <c r="K37" s="476"/>
      <c r="L37" s="476"/>
      <c r="M37" s="478"/>
      <c r="N37" s="478"/>
      <c r="O37" s="478"/>
      <c r="P37" s="478"/>
      <c r="Q37" s="468"/>
      <c r="R37" s="468"/>
      <c r="S37" s="480"/>
      <c r="T37" s="456"/>
      <c r="U37" s="12"/>
      <c r="V37" s="41"/>
      <c r="W37" s="41"/>
    </row>
    <row r="38" spans="1:33" ht="19.5" customHeight="1" x14ac:dyDescent="0.25">
      <c r="A38" s="58">
        <v>17</v>
      </c>
      <c r="B38" s="71" t="s">
        <v>84</v>
      </c>
      <c r="C38" s="81" t="s">
        <v>85</v>
      </c>
      <c r="D38" s="45" t="s">
        <v>86</v>
      </c>
      <c r="E38" s="51">
        <v>0</v>
      </c>
      <c r="F38" s="51">
        <v>3.2559999999999998</v>
      </c>
      <c r="G38" s="51">
        <f t="shared" si="0"/>
        <v>3.2559999999999998</v>
      </c>
      <c r="H38" s="51">
        <f t="shared" si="1"/>
        <v>3.2559999999999993</v>
      </c>
      <c r="I38" s="51">
        <v>0</v>
      </c>
      <c r="J38" s="51">
        <f>2.015+0.256</f>
        <v>2.2709999999999999</v>
      </c>
      <c r="K38" s="51">
        <f>3.256-2.015-0.256</f>
        <v>0.98499999999999965</v>
      </c>
      <c r="L38" s="51">
        <v>0</v>
      </c>
      <c r="M38" s="51"/>
      <c r="N38" s="51">
        <v>0</v>
      </c>
      <c r="O38" s="51">
        <v>0</v>
      </c>
      <c r="P38" s="51">
        <v>0</v>
      </c>
      <c r="Q38" s="51">
        <v>0</v>
      </c>
      <c r="R38" s="51">
        <f t="shared" si="3"/>
        <v>3.2559999999999993</v>
      </c>
      <c r="S38" s="52">
        <v>0</v>
      </c>
      <c r="T38" s="53" t="s">
        <v>59</v>
      </c>
      <c r="U38" s="12"/>
      <c r="V38" s="41"/>
      <c r="W38" s="41"/>
    </row>
    <row r="39" spans="1:33" ht="19.5" customHeight="1" x14ac:dyDescent="0.25">
      <c r="A39" s="432">
        <v>18</v>
      </c>
      <c r="B39" s="461" t="s">
        <v>87</v>
      </c>
      <c r="C39" s="436" t="s">
        <v>88</v>
      </c>
      <c r="D39" s="434" t="s">
        <v>89</v>
      </c>
      <c r="E39" s="51">
        <v>0</v>
      </c>
      <c r="F39" s="51">
        <v>3.141</v>
      </c>
      <c r="G39" s="467">
        <f>F39-E39+F40-E40</f>
        <v>3.5100000000000002</v>
      </c>
      <c r="H39" s="467">
        <f t="shared" si="1"/>
        <v>3.5100000000000002</v>
      </c>
      <c r="I39" s="475">
        <v>0</v>
      </c>
      <c r="J39" s="475">
        <v>1.605</v>
      </c>
      <c r="K39" s="475">
        <v>0</v>
      </c>
      <c r="L39" s="475">
        <f>G39-J39</f>
        <v>1.9050000000000002</v>
      </c>
      <c r="M39" s="477"/>
      <c r="N39" s="477">
        <v>0</v>
      </c>
      <c r="O39" s="477">
        <v>0</v>
      </c>
      <c r="P39" s="477">
        <v>0</v>
      </c>
      <c r="Q39" s="467">
        <v>0</v>
      </c>
      <c r="R39" s="467">
        <f t="shared" si="3"/>
        <v>3.5100000000000002</v>
      </c>
      <c r="S39" s="479">
        <v>0</v>
      </c>
      <c r="T39" s="455" t="s">
        <v>59</v>
      </c>
      <c r="U39" s="12"/>
      <c r="V39" s="41"/>
      <c r="W39" s="41"/>
    </row>
    <row r="40" spans="1:33" ht="19.5" customHeight="1" x14ac:dyDescent="0.25">
      <c r="A40" s="460"/>
      <c r="B40" s="462"/>
      <c r="C40" s="464"/>
      <c r="D40" s="440"/>
      <c r="E40" s="51">
        <v>3.254</v>
      </c>
      <c r="F40" s="51">
        <v>3.6230000000000002</v>
      </c>
      <c r="G40" s="468"/>
      <c r="H40" s="468"/>
      <c r="I40" s="476"/>
      <c r="J40" s="476"/>
      <c r="K40" s="476"/>
      <c r="L40" s="476"/>
      <c r="M40" s="478"/>
      <c r="N40" s="478"/>
      <c r="O40" s="478"/>
      <c r="P40" s="478"/>
      <c r="Q40" s="468"/>
      <c r="R40" s="468"/>
      <c r="S40" s="480"/>
      <c r="T40" s="456"/>
      <c r="U40" s="12"/>
      <c r="V40" s="41"/>
      <c r="W40" s="41"/>
    </row>
    <row r="41" spans="1:33" ht="19.5" customHeight="1" x14ac:dyDescent="0.25">
      <c r="A41" s="58">
        <v>19</v>
      </c>
      <c r="B41" s="71" t="s">
        <v>90</v>
      </c>
      <c r="C41" s="73" t="s">
        <v>91</v>
      </c>
      <c r="D41" s="45" t="s">
        <v>92</v>
      </c>
      <c r="E41" s="51">
        <v>0</v>
      </c>
      <c r="F41" s="51">
        <v>2.6619999999999999</v>
      </c>
      <c r="G41" s="51">
        <f t="shared" si="0"/>
        <v>2.6619999999999999</v>
      </c>
      <c r="H41" s="51">
        <f t="shared" si="1"/>
        <v>2.6619999999999999</v>
      </c>
      <c r="I41" s="51">
        <v>0</v>
      </c>
      <c r="J41" s="51">
        <v>2.6619999999999999</v>
      </c>
      <c r="K41" s="51">
        <f>2.5-2.5</f>
        <v>0</v>
      </c>
      <c r="L41" s="51">
        <f>0.2-0.2</f>
        <v>0</v>
      </c>
      <c r="M41" s="51"/>
      <c r="N41" s="51">
        <v>0</v>
      </c>
      <c r="O41" s="51">
        <v>0</v>
      </c>
      <c r="P41" s="51">
        <v>0</v>
      </c>
      <c r="Q41" s="51">
        <v>0</v>
      </c>
      <c r="R41" s="51">
        <f t="shared" si="3"/>
        <v>2.6619999999999999</v>
      </c>
      <c r="S41" s="52">
        <v>0</v>
      </c>
      <c r="T41" s="53" t="s">
        <v>59</v>
      </c>
      <c r="U41" s="12"/>
      <c r="V41" s="41"/>
      <c r="W41" s="41"/>
    </row>
    <row r="42" spans="1:33" ht="19.5" customHeight="1" x14ac:dyDescent="0.25">
      <c r="A42" s="58">
        <v>20</v>
      </c>
      <c r="B42" s="71" t="s">
        <v>93</v>
      </c>
      <c r="C42" s="72" t="s">
        <v>94</v>
      </c>
      <c r="D42" s="45" t="s">
        <v>95</v>
      </c>
      <c r="E42" s="51">
        <v>0</v>
      </c>
      <c r="F42" s="51">
        <v>0.53900000000000003</v>
      </c>
      <c r="G42" s="51">
        <f t="shared" si="0"/>
        <v>0.53900000000000003</v>
      </c>
      <c r="H42" s="51">
        <f t="shared" si="1"/>
        <v>0.53900000000000003</v>
      </c>
      <c r="I42" s="51">
        <v>0</v>
      </c>
      <c r="J42" s="51">
        <v>0</v>
      </c>
      <c r="K42" s="51">
        <v>0</v>
      </c>
      <c r="L42" s="51">
        <v>0.53900000000000003</v>
      </c>
      <c r="M42" s="51"/>
      <c r="N42" s="51">
        <v>0</v>
      </c>
      <c r="O42" s="51">
        <v>0</v>
      </c>
      <c r="P42" s="51">
        <v>0</v>
      </c>
      <c r="Q42" s="51">
        <v>0</v>
      </c>
      <c r="R42" s="51">
        <f t="shared" si="3"/>
        <v>0.53900000000000003</v>
      </c>
      <c r="S42" s="52">
        <v>0</v>
      </c>
      <c r="T42" s="53" t="s">
        <v>59</v>
      </c>
      <c r="U42" s="12"/>
      <c r="V42" s="41"/>
      <c r="W42" s="41"/>
    </row>
    <row r="43" spans="1:33" s="74" customFormat="1" ht="19.5" customHeight="1" x14ac:dyDescent="0.25">
      <c r="A43" s="58">
        <v>21</v>
      </c>
      <c r="B43" s="71" t="s">
        <v>96</v>
      </c>
      <c r="C43" s="72" t="s">
        <v>97</v>
      </c>
      <c r="D43" s="45" t="s">
        <v>98</v>
      </c>
      <c r="E43" s="51">
        <v>0</v>
      </c>
      <c r="F43" s="51">
        <v>14.183</v>
      </c>
      <c r="G43" s="51">
        <f t="shared" si="0"/>
        <v>14.183</v>
      </c>
      <c r="H43" s="51">
        <f t="shared" si="1"/>
        <v>14.183</v>
      </c>
      <c r="I43" s="51">
        <v>0</v>
      </c>
      <c r="J43" s="51">
        <f>G43-L43</f>
        <v>14.183</v>
      </c>
      <c r="K43" s="51">
        <v>0</v>
      </c>
      <c r="L43" s="51">
        <f>7.41-0.61-6.8</f>
        <v>0</v>
      </c>
      <c r="M43" s="51"/>
      <c r="N43" s="51">
        <v>0</v>
      </c>
      <c r="O43" s="51">
        <v>0</v>
      </c>
      <c r="P43" s="51">
        <v>0</v>
      </c>
      <c r="Q43" s="51">
        <v>0</v>
      </c>
      <c r="R43" s="51">
        <f t="shared" si="3"/>
        <v>14.183</v>
      </c>
      <c r="S43" s="52">
        <v>0</v>
      </c>
      <c r="T43" s="53" t="s">
        <v>52</v>
      </c>
      <c r="U43" s="77"/>
      <c r="V43" s="76"/>
      <c r="W43" s="76"/>
      <c r="X43" s="3"/>
    </row>
    <row r="44" spans="1:33" ht="19.5" customHeight="1" x14ac:dyDescent="0.25">
      <c r="A44" s="58">
        <v>22</v>
      </c>
      <c r="B44" s="71" t="s">
        <v>99</v>
      </c>
      <c r="C44" s="72" t="s">
        <v>100</v>
      </c>
      <c r="D44" s="45" t="s">
        <v>101</v>
      </c>
      <c r="E44" s="51">
        <v>0</v>
      </c>
      <c r="F44" s="51">
        <v>0.442</v>
      </c>
      <c r="G44" s="51">
        <f t="shared" si="0"/>
        <v>0.442</v>
      </c>
      <c r="H44" s="51">
        <f t="shared" si="1"/>
        <v>0.442</v>
      </c>
      <c r="I44" s="51"/>
      <c r="J44" s="51">
        <v>0.442</v>
      </c>
      <c r="K44" s="51"/>
      <c r="L44" s="51"/>
      <c r="M44" s="51"/>
      <c r="N44" s="51"/>
      <c r="O44" s="51"/>
      <c r="P44" s="51"/>
      <c r="Q44" s="51"/>
      <c r="R44" s="51">
        <f t="shared" si="3"/>
        <v>0.442</v>
      </c>
      <c r="S44" s="52"/>
      <c r="T44" s="53" t="s">
        <v>59</v>
      </c>
      <c r="U44" s="12"/>
      <c r="V44" s="41"/>
      <c r="W44" s="41"/>
    </row>
    <row r="45" spans="1:33" ht="19.5" customHeight="1" x14ac:dyDescent="0.25">
      <c r="A45" s="432">
        <v>23</v>
      </c>
      <c r="B45" s="461" t="s">
        <v>102</v>
      </c>
      <c r="C45" s="481" t="s">
        <v>103</v>
      </c>
      <c r="D45" s="434" t="s">
        <v>104</v>
      </c>
      <c r="E45" s="51">
        <v>0</v>
      </c>
      <c r="F45" s="51">
        <v>3.3000000000000002E-2</v>
      </c>
      <c r="G45" s="51">
        <f t="shared" si="0"/>
        <v>3.3000000000000002E-2</v>
      </c>
      <c r="H45" s="51">
        <f t="shared" si="1"/>
        <v>3.3000000000000002E-2</v>
      </c>
      <c r="I45" s="51">
        <v>0</v>
      </c>
      <c r="J45" s="51">
        <v>3.3000000000000002E-2</v>
      </c>
      <c r="K45" s="51">
        <v>0</v>
      </c>
      <c r="L45" s="51"/>
      <c r="M45" s="51"/>
      <c r="N45" s="51">
        <v>0</v>
      </c>
      <c r="O45" s="51">
        <v>0</v>
      </c>
      <c r="P45" s="51">
        <v>0</v>
      </c>
      <c r="Q45" s="51">
        <v>0</v>
      </c>
      <c r="R45" s="51">
        <f t="shared" si="3"/>
        <v>3.3000000000000002E-2</v>
      </c>
      <c r="S45" s="52">
        <v>0</v>
      </c>
      <c r="T45" s="53" t="s">
        <v>59</v>
      </c>
      <c r="U45" s="12"/>
      <c r="V45" s="41"/>
      <c r="W45" s="41"/>
    </row>
    <row r="46" spans="1:33" ht="19.5" customHeight="1" x14ac:dyDescent="0.25">
      <c r="A46" s="433"/>
      <c r="B46" s="463"/>
      <c r="C46" s="482"/>
      <c r="D46" s="435"/>
      <c r="E46" s="51">
        <v>7.1999999999999995E-2</v>
      </c>
      <c r="F46" s="51">
        <v>3.0840000000000001</v>
      </c>
      <c r="G46" s="51">
        <f t="shared" si="0"/>
        <v>3.012</v>
      </c>
      <c r="H46" s="51">
        <f t="shared" si="1"/>
        <v>3.012</v>
      </c>
      <c r="I46" s="51"/>
      <c r="J46" s="51">
        <v>3.012</v>
      </c>
      <c r="K46" s="51"/>
      <c r="L46" s="51"/>
      <c r="M46" s="51"/>
      <c r="N46" s="51"/>
      <c r="O46" s="51"/>
      <c r="P46" s="51"/>
      <c r="Q46" s="51"/>
      <c r="R46" s="51">
        <f t="shared" si="3"/>
        <v>3.012</v>
      </c>
      <c r="S46" s="52"/>
      <c r="T46" s="53" t="s">
        <v>59</v>
      </c>
      <c r="U46" s="12"/>
      <c r="V46" s="41"/>
      <c r="W46" s="41"/>
    </row>
    <row r="47" spans="1:33" ht="19.5" customHeight="1" x14ac:dyDescent="0.25">
      <c r="A47" s="432">
        <v>24</v>
      </c>
      <c r="B47" s="461" t="s">
        <v>105</v>
      </c>
      <c r="C47" s="481" t="s">
        <v>106</v>
      </c>
      <c r="D47" s="434" t="s">
        <v>107</v>
      </c>
      <c r="E47" s="51">
        <v>0</v>
      </c>
      <c r="F47" s="51">
        <v>2.8000000000000001E-2</v>
      </c>
      <c r="G47" s="51">
        <f t="shared" si="0"/>
        <v>2.8000000000000001E-2</v>
      </c>
      <c r="H47" s="51">
        <f t="shared" si="1"/>
        <v>2.8000000000000001E-2</v>
      </c>
      <c r="I47" s="51">
        <v>0</v>
      </c>
      <c r="J47" s="51">
        <v>2.8000000000000001E-2</v>
      </c>
      <c r="K47" s="51">
        <v>0</v>
      </c>
      <c r="L47" s="51">
        <v>0</v>
      </c>
      <c r="M47" s="51"/>
      <c r="N47" s="51">
        <v>0</v>
      </c>
      <c r="O47" s="51">
        <v>0</v>
      </c>
      <c r="P47" s="51">
        <v>0</v>
      </c>
      <c r="Q47" s="51">
        <v>0</v>
      </c>
      <c r="R47" s="51">
        <f t="shared" si="3"/>
        <v>2.8000000000000001E-2</v>
      </c>
      <c r="S47" s="52">
        <v>0</v>
      </c>
      <c r="T47" s="53" t="s">
        <v>52</v>
      </c>
      <c r="U47" s="12"/>
      <c r="V47" s="41"/>
      <c r="W47" s="41"/>
    </row>
    <row r="48" spans="1:33" ht="19.5" customHeight="1" x14ac:dyDescent="0.25">
      <c r="A48" s="433"/>
      <c r="B48" s="463"/>
      <c r="C48" s="482"/>
      <c r="D48" s="435"/>
      <c r="E48" s="51">
        <v>6.0999999999999999E-2</v>
      </c>
      <c r="F48" s="51">
        <v>2.9849999999999999</v>
      </c>
      <c r="G48" s="51">
        <f t="shared" si="0"/>
        <v>2.9239999999999999</v>
      </c>
      <c r="H48" s="51">
        <f t="shared" si="1"/>
        <v>2.9239999999999999</v>
      </c>
      <c r="I48" s="51"/>
      <c r="J48" s="51">
        <v>2.9239999999999999</v>
      </c>
      <c r="K48" s="51"/>
      <c r="L48" s="51"/>
      <c r="M48" s="51"/>
      <c r="N48" s="51"/>
      <c r="O48" s="51"/>
      <c r="P48" s="51"/>
      <c r="Q48" s="51"/>
      <c r="R48" s="51">
        <f t="shared" si="3"/>
        <v>2.9239999999999999</v>
      </c>
      <c r="S48" s="52"/>
      <c r="T48" s="53" t="s">
        <v>52</v>
      </c>
      <c r="U48" s="12"/>
      <c r="V48" s="41"/>
      <c r="W48" s="41"/>
    </row>
    <row r="49" spans="1:35" ht="19.5" customHeight="1" x14ac:dyDescent="0.25">
      <c r="A49" s="58">
        <v>25</v>
      </c>
      <c r="B49" s="71" t="s">
        <v>108</v>
      </c>
      <c r="C49" s="72" t="s">
        <v>109</v>
      </c>
      <c r="D49" s="45" t="s">
        <v>110</v>
      </c>
      <c r="E49" s="51">
        <v>0.51100000000000001</v>
      </c>
      <c r="F49" s="51">
        <v>4.3049999999999997</v>
      </c>
      <c r="G49" s="51">
        <f t="shared" si="0"/>
        <v>3.7939999999999996</v>
      </c>
      <c r="H49" s="51">
        <f t="shared" si="1"/>
        <v>3.794</v>
      </c>
      <c r="I49" s="51">
        <v>0</v>
      </c>
      <c r="J49" s="51">
        <v>3.794</v>
      </c>
      <c r="K49" s="51">
        <v>0</v>
      </c>
      <c r="L49" s="51">
        <v>0</v>
      </c>
      <c r="M49" s="51"/>
      <c r="N49" s="51">
        <v>0</v>
      </c>
      <c r="O49" s="51">
        <v>0</v>
      </c>
      <c r="P49" s="51">
        <v>0</v>
      </c>
      <c r="Q49" s="51">
        <v>0</v>
      </c>
      <c r="R49" s="51">
        <f t="shared" si="3"/>
        <v>3.794</v>
      </c>
      <c r="S49" s="52">
        <v>0</v>
      </c>
      <c r="T49" s="53" t="s">
        <v>52</v>
      </c>
      <c r="U49" s="12"/>
      <c r="V49" s="41"/>
      <c r="W49" s="41"/>
      <c r="X49" s="3"/>
    </row>
    <row r="50" spans="1:35" ht="19.5" customHeight="1" x14ac:dyDescent="0.25">
      <c r="A50" s="58">
        <v>26</v>
      </c>
      <c r="B50" s="71" t="s">
        <v>111</v>
      </c>
      <c r="C50" s="73" t="s">
        <v>112</v>
      </c>
      <c r="D50" s="45" t="s">
        <v>113</v>
      </c>
      <c r="E50" s="51">
        <v>0.51</v>
      </c>
      <c r="F50" s="51">
        <v>12.538</v>
      </c>
      <c r="G50" s="51">
        <f t="shared" si="0"/>
        <v>12.028</v>
      </c>
      <c r="H50" s="51">
        <f t="shared" si="1"/>
        <v>12.028</v>
      </c>
      <c r="I50" s="51"/>
      <c r="J50" s="51">
        <v>12.028</v>
      </c>
      <c r="K50" s="51">
        <v>0</v>
      </c>
      <c r="L50" s="51">
        <v>0</v>
      </c>
      <c r="M50" s="51"/>
      <c r="N50" s="51">
        <v>0</v>
      </c>
      <c r="O50" s="51">
        <v>0</v>
      </c>
      <c r="P50" s="51">
        <v>0</v>
      </c>
      <c r="Q50" s="51">
        <f>H50</f>
        <v>12.028</v>
      </c>
      <c r="R50" s="51">
        <v>0</v>
      </c>
      <c r="S50" s="52">
        <v>0</v>
      </c>
      <c r="T50" s="53" t="s">
        <v>52</v>
      </c>
      <c r="U50" s="12"/>
      <c r="V50" s="41"/>
      <c r="W50" s="41"/>
      <c r="X50" s="3"/>
    </row>
    <row r="51" spans="1:35" ht="19.5" customHeight="1" x14ac:dyDescent="0.25">
      <c r="A51" s="58">
        <v>27</v>
      </c>
      <c r="B51" s="71" t="s">
        <v>114</v>
      </c>
      <c r="C51" s="72" t="s">
        <v>115</v>
      </c>
      <c r="D51" s="45" t="s">
        <v>116</v>
      </c>
      <c r="E51" s="51">
        <v>0</v>
      </c>
      <c r="F51" s="51">
        <v>0.81200000000000006</v>
      </c>
      <c r="G51" s="51">
        <f t="shared" si="0"/>
        <v>0.81200000000000006</v>
      </c>
      <c r="H51" s="51">
        <f t="shared" si="1"/>
        <v>0.81200000000000006</v>
      </c>
      <c r="I51" s="51">
        <v>0</v>
      </c>
      <c r="J51" s="51">
        <v>0.81200000000000006</v>
      </c>
      <c r="K51" s="51">
        <v>0</v>
      </c>
      <c r="L51" s="51">
        <v>0</v>
      </c>
      <c r="M51" s="51"/>
      <c r="N51" s="51">
        <v>0</v>
      </c>
      <c r="O51" s="51">
        <v>0</v>
      </c>
      <c r="P51" s="51">
        <v>0</v>
      </c>
      <c r="Q51" s="51">
        <v>0</v>
      </c>
      <c r="R51" s="51">
        <f t="shared" si="3"/>
        <v>0.81200000000000006</v>
      </c>
      <c r="S51" s="52">
        <v>0</v>
      </c>
      <c r="T51" s="53" t="s">
        <v>52</v>
      </c>
      <c r="U51" s="12"/>
      <c r="V51" s="41"/>
      <c r="W51" s="41"/>
    </row>
    <row r="52" spans="1:35" ht="19.5" customHeight="1" x14ac:dyDescent="0.25">
      <c r="A52" s="58">
        <v>28</v>
      </c>
      <c r="B52" s="71" t="s">
        <v>117</v>
      </c>
      <c r="C52" s="73" t="s">
        <v>118</v>
      </c>
      <c r="D52" s="45" t="s">
        <v>119</v>
      </c>
      <c r="E52" s="51">
        <v>0</v>
      </c>
      <c r="F52" s="51">
        <v>10.898999999999999</v>
      </c>
      <c r="G52" s="51">
        <f t="shared" si="0"/>
        <v>10.898999999999999</v>
      </c>
      <c r="H52" s="51">
        <f t="shared" si="1"/>
        <v>10.898999999999999</v>
      </c>
      <c r="I52" s="51">
        <v>0</v>
      </c>
      <c r="J52" s="51">
        <v>10.898999999999999</v>
      </c>
      <c r="K52" s="51">
        <v>0</v>
      </c>
      <c r="L52" s="51">
        <v>0</v>
      </c>
      <c r="M52" s="51"/>
      <c r="N52" s="51">
        <v>0</v>
      </c>
      <c r="O52" s="51">
        <v>0</v>
      </c>
      <c r="P52" s="51">
        <v>0</v>
      </c>
      <c r="Q52" s="51">
        <f>H52</f>
        <v>10.898999999999999</v>
      </c>
      <c r="R52" s="51">
        <v>0</v>
      </c>
      <c r="S52" s="52">
        <v>0</v>
      </c>
      <c r="T52" s="53" t="s">
        <v>59</v>
      </c>
      <c r="U52" s="12"/>
      <c r="V52" s="41"/>
      <c r="W52" s="41"/>
    </row>
    <row r="53" spans="1:35" ht="19.5" customHeight="1" x14ac:dyDescent="0.25">
      <c r="A53" s="58">
        <v>29</v>
      </c>
      <c r="B53" s="71" t="s">
        <v>120</v>
      </c>
      <c r="C53" s="72" t="s">
        <v>121</v>
      </c>
      <c r="D53" s="45" t="s">
        <v>122</v>
      </c>
      <c r="E53" s="51">
        <v>0.19900000000000001</v>
      </c>
      <c r="F53" s="51">
        <v>3.8340000000000001</v>
      </c>
      <c r="G53" s="51">
        <f t="shared" si="0"/>
        <v>3.6350000000000002</v>
      </c>
      <c r="H53" s="51">
        <f t="shared" si="1"/>
        <v>3.6349999999999998</v>
      </c>
      <c r="I53" s="51">
        <v>0</v>
      </c>
      <c r="J53" s="51">
        <v>3.6349999999999998</v>
      </c>
      <c r="K53" s="51">
        <v>0</v>
      </c>
      <c r="L53" s="51">
        <v>0</v>
      </c>
      <c r="M53" s="51"/>
      <c r="N53" s="51">
        <v>0</v>
      </c>
      <c r="O53" s="51">
        <v>0</v>
      </c>
      <c r="P53" s="51">
        <v>0</v>
      </c>
      <c r="Q53" s="51">
        <v>0</v>
      </c>
      <c r="R53" s="51">
        <f t="shared" si="3"/>
        <v>3.6349999999999998</v>
      </c>
      <c r="S53" s="52">
        <v>0</v>
      </c>
      <c r="T53" s="53" t="s">
        <v>52</v>
      </c>
      <c r="U53" s="12"/>
      <c r="V53" s="41"/>
      <c r="W53" s="41"/>
    </row>
    <row r="54" spans="1:35" ht="19.5" customHeight="1" x14ac:dyDescent="0.25">
      <c r="A54" s="58">
        <v>30</v>
      </c>
      <c r="B54" s="71" t="s">
        <v>123</v>
      </c>
      <c r="C54" s="72" t="s">
        <v>124</v>
      </c>
      <c r="D54" s="45" t="s">
        <v>125</v>
      </c>
      <c r="E54" s="51">
        <v>0</v>
      </c>
      <c r="F54" s="51">
        <v>11.206</v>
      </c>
      <c r="G54" s="51">
        <f t="shared" si="0"/>
        <v>11.206</v>
      </c>
      <c r="H54" s="51">
        <f t="shared" si="1"/>
        <v>11.206</v>
      </c>
      <c r="I54" s="51">
        <v>0</v>
      </c>
      <c r="J54" s="51">
        <v>4.5910000000000002</v>
      </c>
      <c r="K54" s="51">
        <f>11.034-5.426</f>
        <v>5.6080000000000005</v>
      </c>
      <c r="L54" s="51">
        <f>11.206-11.034+5.426-4.591</f>
        <v>1.0069999999999988</v>
      </c>
      <c r="M54" s="51"/>
      <c r="N54" s="51">
        <v>0</v>
      </c>
      <c r="O54" s="51">
        <v>0</v>
      </c>
      <c r="P54" s="51">
        <v>0</v>
      </c>
      <c r="Q54" s="51">
        <v>0</v>
      </c>
      <c r="R54" s="51">
        <f t="shared" si="3"/>
        <v>11.206</v>
      </c>
      <c r="S54" s="52">
        <v>0</v>
      </c>
      <c r="T54" s="53" t="s">
        <v>59</v>
      </c>
      <c r="U54" s="12"/>
      <c r="V54" s="41"/>
      <c r="W54" s="41"/>
    </row>
    <row r="55" spans="1:35" ht="19.5" customHeight="1" x14ac:dyDescent="0.25">
      <c r="A55" s="58">
        <v>31</v>
      </c>
      <c r="B55" s="71" t="s">
        <v>126</v>
      </c>
      <c r="C55" s="72" t="s">
        <v>127</v>
      </c>
      <c r="D55" s="45" t="s">
        <v>128</v>
      </c>
      <c r="E55" s="51">
        <v>0</v>
      </c>
      <c r="F55" s="51">
        <v>8.6470000000000002</v>
      </c>
      <c r="G55" s="51">
        <f t="shared" si="0"/>
        <v>8.6470000000000002</v>
      </c>
      <c r="H55" s="51">
        <f t="shared" si="1"/>
        <v>8.6470000000000002</v>
      </c>
      <c r="I55" s="51">
        <v>0</v>
      </c>
      <c r="J55" s="51">
        <v>8.6470000000000002</v>
      </c>
      <c r="K55" s="51">
        <f>9.4-4.1-5.3</f>
        <v>0</v>
      </c>
      <c r="L55" s="51">
        <v>0</v>
      </c>
      <c r="M55" s="51"/>
      <c r="N55" s="51">
        <v>0</v>
      </c>
      <c r="O55" s="51">
        <v>0</v>
      </c>
      <c r="P55" s="51">
        <v>0</v>
      </c>
      <c r="Q55" s="51">
        <v>0</v>
      </c>
      <c r="R55" s="51">
        <f t="shared" si="3"/>
        <v>8.6470000000000002</v>
      </c>
      <c r="S55" s="52">
        <v>0</v>
      </c>
      <c r="T55" s="53" t="s">
        <v>59</v>
      </c>
      <c r="U55" s="12"/>
      <c r="V55" s="41"/>
      <c r="W55" s="41"/>
    </row>
    <row r="56" spans="1:35" ht="19.5" customHeight="1" x14ac:dyDescent="0.25">
      <c r="A56" s="58">
        <v>32</v>
      </c>
      <c r="B56" s="71" t="s">
        <v>129</v>
      </c>
      <c r="C56" s="73" t="s">
        <v>130</v>
      </c>
      <c r="D56" s="45" t="s">
        <v>131</v>
      </c>
      <c r="E56" s="51">
        <v>0</v>
      </c>
      <c r="F56" s="51">
        <v>2.952</v>
      </c>
      <c r="G56" s="51">
        <f t="shared" si="0"/>
        <v>2.952</v>
      </c>
      <c r="H56" s="51">
        <f t="shared" si="1"/>
        <v>2.952</v>
      </c>
      <c r="I56" s="51">
        <v>0</v>
      </c>
      <c r="J56" s="51">
        <v>2.952</v>
      </c>
      <c r="K56" s="51">
        <v>0</v>
      </c>
      <c r="L56" s="51">
        <v>0</v>
      </c>
      <c r="M56" s="51"/>
      <c r="N56" s="51">
        <v>0</v>
      </c>
      <c r="O56" s="51">
        <v>0</v>
      </c>
      <c r="P56" s="51">
        <v>0</v>
      </c>
      <c r="Q56" s="51">
        <v>0</v>
      </c>
      <c r="R56" s="51"/>
      <c r="S56" s="52">
        <f>H56</f>
        <v>2.952</v>
      </c>
      <c r="T56" s="53" t="s">
        <v>59</v>
      </c>
      <c r="U56" s="12"/>
      <c r="V56" s="41"/>
      <c r="W56" s="41"/>
    </row>
    <row r="57" spans="1:35" ht="19.5" customHeight="1" x14ac:dyDescent="0.25">
      <c r="A57" s="58">
        <v>33</v>
      </c>
      <c r="B57" s="71" t="s">
        <v>132</v>
      </c>
      <c r="C57" s="72" t="s">
        <v>133</v>
      </c>
      <c r="D57" s="45" t="s">
        <v>134</v>
      </c>
      <c r="E57" s="51">
        <v>0</v>
      </c>
      <c r="F57" s="51">
        <v>2.6259999999999999</v>
      </c>
      <c r="G57" s="51">
        <f t="shared" si="0"/>
        <v>2.6259999999999999</v>
      </c>
      <c r="H57" s="51">
        <f t="shared" si="1"/>
        <v>2.6259999999999999</v>
      </c>
      <c r="I57" s="51">
        <v>0</v>
      </c>
      <c r="J57" s="51">
        <v>2.6259999999999999</v>
      </c>
      <c r="K57" s="51">
        <v>0</v>
      </c>
      <c r="L57" s="51"/>
      <c r="M57" s="51"/>
      <c r="N57" s="51">
        <v>0</v>
      </c>
      <c r="O57" s="51">
        <v>0</v>
      </c>
      <c r="P57" s="51">
        <v>0</v>
      </c>
      <c r="Q57" s="51">
        <v>0</v>
      </c>
      <c r="R57" s="51">
        <f t="shared" si="3"/>
        <v>2.6259999999999999</v>
      </c>
      <c r="S57" s="52">
        <v>0</v>
      </c>
      <c r="T57" s="53" t="s">
        <v>59</v>
      </c>
      <c r="U57" s="12"/>
      <c r="V57" s="41"/>
      <c r="W57" s="41"/>
    </row>
    <row r="58" spans="1:35" ht="19.5" customHeight="1" x14ac:dyDescent="0.25">
      <c r="A58" s="58">
        <v>34</v>
      </c>
      <c r="B58" s="71" t="s">
        <v>135</v>
      </c>
      <c r="C58" s="72" t="s">
        <v>136</v>
      </c>
      <c r="D58" s="45" t="s">
        <v>137</v>
      </c>
      <c r="E58" s="51">
        <v>1.196</v>
      </c>
      <c r="F58" s="51">
        <v>5.4610000000000003</v>
      </c>
      <c r="G58" s="51">
        <f t="shared" si="0"/>
        <v>4.2650000000000006</v>
      </c>
      <c r="H58" s="51">
        <f t="shared" si="1"/>
        <v>4.2649999999999997</v>
      </c>
      <c r="I58" s="51">
        <v>0</v>
      </c>
      <c r="J58" s="51">
        <v>4.2649999999999997</v>
      </c>
      <c r="K58" s="51">
        <v>0</v>
      </c>
      <c r="L58" s="51">
        <v>0</v>
      </c>
      <c r="M58" s="51"/>
      <c r="N58" s="51">
        <v>0</v>
      </c>
      <c r="O58" s="51">
        <v>0</v>
      </c>
      <c r="P58" s="51">
        <v>0</v>
      </c>
      <c r="Q58" s="51">
        <v>0</v>
      </c>
      <c r="R58" s="51">
        <f t="shared" si="3"/>
        <v>4.2649999999999997</v>
      </c>
      <c r="S58" s="52">
        <v>0</v>
      </c>
      <c r="T58" s="53" t="s">
        <v>59</v>
      </c>
      <c r="U58" s="12"/>
      <c r="V58" s="41"/>
      <c r="W58" s="41"/>
      <c r="X58" s="3"/>
    </row>
    <row r="59" spans="1:35" ht="19.5" customHeight="1" x14ac:dyDescent="0.25">
      <c r="A59" s="58">
        <v>35</v>
      </c>
      <c r="B59" s="71" t="s">
        <v>138</v>
      </c>
      <c r="C59" s="72" t="s">
        <v>139</v>
      </c>
      <c r="D59" s="45" t="s">
        <v>140</v>
      </c>
      <c r="E59" s="51">
        <v>0</v>
      </c>
      <c r="F59" s="51">
        <v>2.0230000000000001</v>
      </c>
      <c r="G59" s="51">
        <f t="shared" si="0"/>
        <v>2.0230000000000001</v>
      </c>
      <c r="H59" s="51">
        <f t="shared" si="1"/>
        <v>2.0230000000000001</v>
      </c>
      <c r="I59" s="51">
        <v>0</v>
      </c>
      <c r="J59" s="51">
        <v>2.0230000000000001</v>
      </c>
      <c r="K59" s="51">
        <v>0</v>
      </c>
      <c r="L59" s="51">
        <f>G59-J59</f>
        <v>0</v>
      </c>
      <c r="M59" s="51"/>
      <c r="N59" s="51">
        <v>0</v>
      </c>
      <c r="O59" s="51">
        <v>0</v>
      </c>
      <c r="P59" s="51">
        <v>0</v>
      </c>
      <c r="Q59" s="51">
        <v>0</v>
      </c>
      <c r="R59" s="51">
        <f t="shared" si="3"/>
        <v>2.0230000000000001</v>
      </c>
      <c r="S59" s="52">
        <v>0</v>
      </c>
      <c r="T59" s="53" t="s">
        <v>59</v>
      </c>
      <c r="U59" s="12"/>
      <c r="V59" s="41"/>
      <c r="W59" s="41"/>
    </row>
    <row r="60" spans="1:35" ht="19.5" customHeight="1" x14ac:dyDescent="0.25">
      <c r="A60" s="58">
        <v>36</v>
      </c>
      <c r="B60" s="71" t="s">
        <v>141</v>
      </c>
      <c r="C60" s="73" t="s">
        <v>142</v>
      </c>
      <c r="D60" s="45" t="s">
        <v>143</v>
      </c>
      <c r="E60" s="51">
        <v>0</v>
      </c>
      <c r="F60" s="51">
        <v>0.82499999999999996</v>
      </c>
      <c r="G60" s="51">
        <f t="shared" si="0"/>
        <v>0.82499999999999996</v>
      </c>
      <c r="H60" s="51">
        <f t="shared" si="1"/>
        <v>0.82499999999999996</v>
      </c>
      <c r="I60" s="51">
        <v>0.82499999999999996</v>
      </c>
      <c r="J60" s="51"/>
      <c r="K60" s="51">
        <v>0</v>
      </c>
      <c r="L60" s="51">
        <v>0</v>
      </c>
      <c r="M60" s="51"/>
      <c r="N60" s="51">
        <v>0</v>
      </c>
      <c r="O60" s="51">
        <v>0</v>
      </c>
      <c r="P60" s="51">
        <v>0</v>
      </c>
      <c r="Q60" s="51">
        <v>0</v>
      </c>
      <c r="R60" s="51">
        <f t="shared" si="3"/>
        <v>0.82499999999999996</v>
      </c>
      <c r="S60" s="52">
        <v>0</v>
      </c>
      <c r="T60" s="53" t="s">
        <v>52</v>
      </c>
      <c r="U60" s="12"/>
      <c r="V60" s="41"/>
      <c r="W60" s="41"/>
    </row>
    <row r="61" spans="1:35" ht="19.5" customHeight="1" x14ac:dyDescent="0.25">
      <c r="A61" s="58">
        <v>37</v>
      </c>
      <c r="B61" s="71" t="s">
        <v>144</v>
      </c>
      <c r="C61" s="72" t="s">
        <v>145</v>
      </c>
      <c r="D61" s="45" t="s">
        <v>146</v>
      </c>
      <c r="E61" s="51">
        <v>0</v>
      </c>
      <c r="F61" s="51">
        <v>7.1319999999999997</v>
      </c>
      <c r="G61" s="51">
        <f t="shared" si="0"/>
        <v>7.1319999999999997</v>
      </c>
      <c r="H61" s="51">
        <f t="shared" si="1"/>
        <v>7.1319999999999997</v>
      </c>
      <c r="I61" s="51">
        <v>0</v>
      </c>
      <c r="J61" s="51">
        <v>0</v>
      </c>
      <c r="K61" s="51">
        <v>0</v>
      </c>
      <c r="L61" s="51">
        <v>7.1319999999999997</v>
      </c>
      <c r="M61" s="51"/>
      <c r="N61" s="51">
        <v>0</v>
      </c>
      <c r="O61" s="51">
        <v>0</v>
      </c>
      <c r="P61" s="51">
        <v>0</v>
      </c>
      <c r="Q61" s="51">
        <v>0</v>
      </c>
      <c r="R61" s="51">
        <f t="shared" si="3"/>
        <v>7.1319999999999997</v>
      </c>
      <c r="S61" s="52">
        <v>0</v>
      </c>
      <c r="T61" s="53" t="s">
        <v>59</v>
      </c>
      <c r="U61" s="12"/>
      <c r="V61" s="41"/>
      <c r="W61" s="41"/>
    </row>
    <row r="62" spans="1:35" ht="19.5" customHeight="1" x14ac:dyDescent="0.25">
      <c r="A62" s="58">
        <v>38</v>
      </c>
      <c r="B62" s="82" t="s">
        <v>147</v>
      </c>
      <c r="C62" s="72" t="s">
        <v>148</v>
      </c>
      <c r="D62" s="45" t="s">
        <v>149</v>
      </c>
      <c r="E62" s="51">
        <v>0</v>
      </c>
      <c r="F62" s="51">
        <v>3.34</v>
      </c>
      <c r="G62" s="51">
        <f>F62-E62</f>
        <v>3.34</v>
      </c>
      <c r="H62" s="51">
        <f t="shared" si="1"/>
        <v>3.34</v>
      </c>
      <c r="I62" s="51">
        <v>0</v>
      </c>
      <c r="J62" s="51">
        <v>3.34</v>
      </c>
      <c r="K62" s="51">
        <v>0</v>
      </c>
      <c r="L62" s="51">
        <v>0</v>
      </c>
      <c r="M62" s="51"/>
      <c r="N62" s="51">
        <v>0</v>
      </c>
      <c r="O62" s="51">
        <v>0</v>
      </c>
      <c r="P62" s="51">
        <v>0</v>
      </c>
      <c r="Q62" s="51">
        <v>0</v>
      </c>
      <c r="R62" s="51">
        <f t="shared" si="3"/>
        <v>3.34</v>
      </c>
      <c r="S62" s="52">
        <v>0</v>
      </c>
      <c r="T62" s="53" t="s">
        <v>59</v>
      </c>
      <c r="U62" s="12"/>
      <c r="V62" s="41"/>
      <c r="W62" s="41"/>
    </row>
    <row r="63" spans="1:35" s="87" customFormat="1" ht="19.5" customHeight="1" x14ac:dyDescent="0.25">
      <c r="A63" s="432">
        <v>39</v>
      </c>
      <c r="B63" s="461" t="s">
        <v>150</v>
      </c>
      <c r="C63" s="481" t="s">
        <v>151</v>
      </c>
      <c r="D63" s="483" t="s">
        <v>152</v>
      </c>
      <c r="E63" s="62">
        <v>1.595</v>
      </c>
      <c r="F63" s="62">
        <v>9.3390000000000004</v>
      </c>
      <c r="G63" s="62">
        <f t="shared" si="0"/>
        <v>7.7440000000000007</v>
      </c>
      <c r="H63" s="62">
        <f t="shared" si="1"/>
        <v>7.7439999999999998</v>
      </c>
      <c r="I63" s="62"/>
      <c r="J63" s="62">
        <v>7.7439999999999998</v>
      </c>
      <c r="K63" s="62">
        <v>0</v>
      </c>
      <c r="L63" s="62">
        <v>0</v>
      </c>
      <c r="M63" s="62"/>
      <c r="N63" s="62">
        <v>0</v>
      </c>
      <c r="O63" s="62">
        <v>0</v>
      </c>
      <c r="P63" s="62">
        <v>0</v>
      </c>
      <c r="Q63" s="62">
        <f>H63</f>
        <v>7.7439999999999998</v>
      </c>
      <c r="R63" s="62">
        <v>0</v>
      </c>
      <c r="S63" s="83">
        <v>0</v>
      </c>
      <c r="T63" s="84" t="s">
        <v>52</v>
      </c>
      <c r="U63" s="85"/>
      <c r="V63" s="86"/>
      <c r="W63" s="86"/>
      <c r="X63" s="485"/>
      <c r="Y63" s="485"/>
      <c r="Z63" s="485"/>
      <c r="AA63" s="485"/>
      <c r="AB63" s="485"/>
      <c r="AC63" s="485"/>
      <c r="AD63" s="485"/>
      <c r="AE63" s="485"/>
      <c r="AF63" s="485"/>
      <c r="AG63" s="485"/>
      <c r="AH63" s="485"/>
      <c r="AI63" s="485"/>
    </row>
    <row r="64" spans="1:35" s="87" customFormat="1" ht="19.5" customHeight="1" x14ac:dyDescent="0.25">
      <c r="A64" s="433"/>
      <c r="B64" s="463"/>
      <c r="C64" s="482"/>
      <c r="D64" s="484"/>
      <c r="E64" s="62">
        <v>11.068</v>
      </c>
      <c r="F64" s="88">
        <v>13.576000000000001</v>
      </c>
      <c r="G64" s="62">
        <f>F64-E64</f>
        <v>2.5080000000000009</v>
      </c>
      <c r="H64" s="62">
        <f>I64+J64+K64+L64+M64</f>
        <v>2.508</v>
      </c>
      <c r="I64" s="62"/>
      <c r="J64" s="62">
        <v>2.508</v>
      </c>
      <c r="K64" s="62">
        <v>0</v>
      </c>
      <c r="L64" s="62">
        <v>0</v>
      </c>
      <c r="M64" s="62"/>
      <c r="N64" s="62">
        <v>0</v>
      </c>
      <c r="O64" s="62">
        <v>0</v>
      </c>
      <c r="P64" s="62">
        <v>0</v>
      </c>
      <c r="Q64" s="62">
        <f>H64</f>
        <v>2.508</v>
      </c>
      <c r="R64" s="62">
        <v>0</v>
      </c>
      <c r="S64" s="83">
        <v>0</v>
      </c>
      <c r="T64" s="84" t="s">
        <v>52</v>
      </c>
      <c r="U64" s="85"/>
      <c r="V64" s="86"/>
      <c r="W64" s="86"/>
      <c r="X64" s="485"/>
      <c r="Y64" s="485"/>
      <c r="Z64" s="485"/>
      <c r="AA64" s="485"/>
      <c r="AB64" s="485"/>
      <c r="AC64" s="485"/>
      <c r="AD64" s="485"/>
      <c r="AE64" s="485"/>
      <c r="AF64" s="485"/>
      <c r="AG64" s="485"/>
      <c r="AH64" s="485"/>
      <c r="AI64" s="485"/>
    </row>
    <row r="65" spans="1:25" s="63" customFormat="1" ht="19.5" customHeight="1" x14ac:dyDescent="0.25">
      <c r="A65" s="58">
        <v>40</v>
      </c>
      <c r="B65" s="71" t="s">
        <v>153</v>
      </c>
      <c r="C65" s="89" t="s">
        <v>217</v>
      </c>
      <c r="D65" s="61" t="s">
        <v>154</v>
      </c>
      <c r="E65" s="62">
        <v>2.97</v>
      </c>
      <c r="F65" s="88">
        <v>4.5049999999999999</v>
      </c>
      <c r="G65" s="62">
        <f t="shared" si="0"/>
        <v>1.5349999999999997</v>
      </c>
      <c r="H65" s="62">
        <f t="shared" si="1"/>
        <v>1.5349999999999999</v>
      </c>
      <c r="I65" s="62"/>
      <c r="J65" s="62"/>
      <c r="K65" s="62"/>
      <c r="L65" s="62">
        <v>1.5349999999999999</v>
      </c>
      <c r="M65" s="62"/>
      <c r="N65" s="62"/>
      <c r="O65" s="62"/>
      <c r="P65" s="62"/>
      <c r="Q65" s="62"/>
      <c r="R65" s="62"/>
      <c r="S65" s="83">
        <f>L65</f>
        <v>1.5349999999999999</v>
      </c>
      <c r="T65" s="84" t="s">
        <v>59</v>
      </c>
      <c r="U65" s="12"/>
      <c r="V65" s="41"/>
      <c r="W65" s="41"/>
      <c r="X65" s="3"/>
    </row>
    <row r="66" spans="1:25" s="63" customFormat="1" ht="19.5" customHeight="1" x14ac:dyDescent="0.25">
      <c r="A66" s="486">
        <v>41</v>
      </c>
      <c r="B66" s="461" t="s">
        <v>155</v>
      </c>
      <c r="C66" s="488" t="s">
        <v>156</v>
      </c>
      <c r="D66" s="483" t="s">
        <v>157</v>
      </c>
      <c r="E66" s="62">
        <v>0.378</v>
      </c>
      <c r="F66" s="90">
        <v>4.68</v>
      </c>
      <c r="G66" s="490">
        <f>F66-E66+F67-E67</f>
        <v>10.175000000000001</v>
      </c>
      <c r="H66" s="490">
        <f t="shared" si="1"/>
        <v>10.175000000000001</v>
      </c>
      <c r="I66" s="512"/>
      <c r="J66" s="512">
        <v>10.175000000000001</v>
      </c>
      <c r="K66" s="506"/>
      <c r="L66" s="506"/>
      <c r="M66" s="506"/>
      <c r="N66" s="506">
        <f>G66-H66</f>
        <v>0</v>
      </c>
      <c r="O66" s="506"/>
      <c r="P66" s="506"/>
      <c r="Q66" s="490">
        <f>H66</f>
        <v>10.175000000000001</v>
      </c>
      <c r="R66" s="508"/>
      <c r="S66" s="510"/>
      <c r="T66" s="492" t="s">
        <v>52</v>
      </c>
      <c r="U66" s="12"/>
      <c r="V66" s="41"/>
      <c r="W66" s="41"/>
      <c r="X66" s="3"/>
    </row>
    <row r="67" spans="1:25" s="63" customFormat="1" ht="19.5" customHeight="1" x14ac:dyDescent="0.25">
      <c r="A67" s="487"/>
      <c r="B67" s="463"/>
      <c r="C67" s="489"/>
      <c r="D67" s="484"/>
      <c r="E67" s="62">
        <v>5.7130000000000001</v>
      </c>
      <c r="F67" s="90">
        <v>11.586</v>
      </c>
      <c r="G67" s="491"/>
      <c r="H67" s="491"/>
      <c r="I67" s="513"/>
      <c r="J67" s="513"/>
      <c r="K67" s="507"/>
      <c r="L67" s="507"/>
      <c r="M67" s="507"/>
      <c r="N67" s="507"/>
      <c r="O67" s="507"/>
      <c r="P67" s="507"/>
      <c r="Q67" s="491"/>
      <c r="R67" s="509"/>
      <c r="S67" s="511"/>
      <c r="T67" s="493"/>
      <c r="U67" s="12"/>
      <c r="V67" s="41"/>
      <c r="W67" s="41"/>
      <c r="X67" s="3"/>
    </row>
    <row r="68" spans="1:25" s="93" customFormat="1" ht="19.5" customHeight="1" x14ac:dyDescent="0.25">
      <c r="A68" s="58">
        <v>42</v>
      </c>
      <c r="B68" s="71" t="s">
        <v>158</v>
      </c>
      <c r="C68" s="91" t="s">
        <v>159</v>
      </c>
      <c r="D68" s="92" t="s">
        <v>160</v>
      </c>
      <c r="E68" s="62">
        <v>0</v>
      </c>
      <c r="F68" s="90">
        <v>1.613</v>
      </c>
      <c r="G68" s="62">
        <f t="shared" si="0"/>
        <v>1.613</v>
      </c>
      <c r="H68" s="62">
        <f t="shared" si="1"/>
        <v>1.613</v>
      </c>
      <c r="I68" s="90"/>
      <c r="J68" s="90">
        <v>1.613</v>
      </c>
      <c r="K68" s="90"/>
      <c r="L68" s="90"/>
      <c r="M68" s="90"/>
      <c r="N68" s="90"/>
      <c r="O68" s="90"/>
      <c r="P68" s="62"/>
      <c r="Q68" s="62"/>
      <c r="R68" s="62">
        <f>H68</f>
        <v>1.613</v>
      </c>
      <c r="S68" s="83"/>
      <c r="T68" s="84" t="s">
        <v>52</v>
      </c>
      <c r="U68" s="12"/>
      <c r="V68" s="41"/>
      <c r="W68" s="41"/>
      <c r="X68" s="3"/>
    </row>
    <row r="69" spans="1:25" s="93" customFormat="1" ht="19.5" customHeight="1" x14ac:dyDescent="0.25">
      <c r="A69" s="58">
        <v>43</v>
      </c>
      <c r="B69" s="71" t="s">
        <v>161</v>
      </c>
      <c r="C69" s="89" t="s">
        <v>162</v>
      </c>
      <c r="D69" s="92" t="s">
        <v>163</v>
      </c>
      <c r="E69" s="62">
        <v>1.044</v>
      </c>
      <c r="F69" s="90">
        <v>8.9260000000000002</v>
      </c>
      <c r="G69" s="62">
        <f t="shared" si="0"/>
        <v>7.8819999999999997</v>
      </c>
      <c r="H69" s="62">
        <f>I69+J69+K69+L69+M69</f>
        <v>7.8819999999999997</v>
      </c>
      <c r="I69" s="90"/>
      <c r="J69" s="90">
        <v>7.8819999999999997</v>
      </c>
      <c r="K69" s="90"/>
      <c r="L69" s="90"/>
      <c r="M69" s="90"/>
      <c r="N69" s="90"/>
      <c r="O69" s="90">
        <v>7.8819999999999997</v>
      </c>
      <c r="P69" s="62"/>
      <c r="Q69" s="62"/>
      <c r="R69" s="62"/>
      <c r="S69" s="83"/>
      <c r="T69" s="84" t="s">
        <v>38</v>
      </c>
      <c r="U69" s="12"/>
      <c r="V69" s="41"/>
      <c r="W69" s="41"/>
    </row>
    <row r="70" spans="1:25" s="93" customFormat="1" ht="19.5" customHeight="1" x14ac:dyDescent="0.25">
      <c r="A70" s="58">
        <v>44</v>
      </c>
      <c r="B70" s="71" t="s">
        <v>164</v>
      </c>
      <c r="C70" s="89" t="s">
        <v>165</v>
      </c>
      <c r="D70" s="61" t="s">
        <v>166</v>
      </c>
      <c r="E70" s="62">
        <v>0</v>
      </c>
      <c r="F70" s="90">
        <v>1.4870000000000001</v>
      </c>
      <c r="G70" s="62">
        <f t="shared" si="0"/>
        <v>1.4870000000000001</v>
      </c>
      <c r="H70" s="62">
        <f t="shared" si="1"/>
        <v>1.4870000000000001</v>
      </c>
      <c r="I70" s="90"/>
      <c r="J70" s="90">
        <v>1.4870000000000001</v>
      </c>
      <c r="K70" s="90"/>
      <c r="L70" s="90"/>
      <c r="M70" s="90"/>
      <c r="N70" s="90"/>
      <c r="O70" s="90"/>
      <c r="P70" s="62"/>
      <c r="Q70" s="62"/>
      <c r="R70" s="62">
        <f>H70</f>
        <v>1.4870000000000001</v>
      </c>
      <c r="S70" s="83"/>
      <c r="T70" s="84" t="s">
        <v>59</v>
      </c>
      <c r="U70" s="12"/>
      <c r="V70" s="41"/>
      <c r="W70" s="41"/>
    </row>
    <row r="71" spans="1:25" s="93" customFormat="1" ht="19.5" customHeight="1" x14ac:dyDescent="0.25">
      <c r="A71" s="58">
        <v>45</v>
      </c>
      <c r="B71" s="71" t="s">
        <v>167</v>
      </c>
      <c r="C71" s="89" t="s">
        <v>168</v>
      </c>
      <c r="D71" s="94" t="s">
        <v>169</v>
      </c>
      <c r="E71" s="62">
        <v>15.442</v>
      </c>
      <c r="F71" s="90">
        <v>24.329000000000001</v>
      </c>
      <c r="G71" s="62">
        <f t="shared" si="0"/>
        <v>8.8870000000000005</v>
      </c>
      <c r="H71" s="62">
        <f t="shared" si="1"/>
        <v>8.8870000000000005</v>
      </c>
      <c r="I71" s="90">
        <f>8.867</f>
        <v>8.8670000000000009</v>
      </c>
      <c r="J71" s="90">
        <v>0.02</v>
      </c>
      <c r="K71" s="90"/>
      <c r="L71" s="90"/>
      <c r="M71" s="90"/>
      <c r="N71" s="90"/>
      <c r="O71" s="90"/>
      <c r="P71" s="62">
        <v>5.5579999999999998</v>
      </c>
      <c r="Q71" s="62">
        <f>8.887-P71</f>
        <v>3.3290000000000006</v>
      </c>
      <c r="R71" s="62"/>
      <c r="S71" s="83"/>
      <c r="T71" s="84" t="s">
        <v>52</v>
      </c>
      <c r="U71" s="12"/>
      <c r="V71" s="41"/>
      <c r="W71" s="41"/>
      <c r="X71" s="3"/>
    </row>
    <row r="72" spans="1:25" s="93" customFormat="1" ht="38.25" customHeight="1" x14ac:dyDescent="0.25">
      <c r="A72" s="58">
        <v>46</v>
      </c>
      <c r="B72" s="71" t="s">
        <v>170</v>
      </c>
      <c r="C72" s="95" t="s">
        <v>171</v>
      </c>
      <c r="D72" s="94" t="s">
        <v>172</v>
      </c>
      <c r="E72" s="62">
        <v>0</v>
      </c>
      <c r="F72" s="90">
        <v>4.9509999999999996</v>
      </c>
      <c r="G72" s="62">
        <f t="shared" si="0"/>
        <v>4.9509999999999996</v>
      </c>
      <c r="H72" s="62">
        <f t="shared" si="1"/>
        <v>4.9509999999999996</v>
      </c>
      <c r="I72" s="90">
        <v>4.8179999999999996</v>
      </c>
      <c r="J72" s="90">
        <v>0.13300000000000001</v>
      </c>
      <c r="K72" s="90"/>
      <c r="L72" s="90"/>
      <c r="M72" s="90"/>
      <c r="N72" s="90"/>
      <c r="O72" s="90"/>
      <c r="P72" s="62">
        <v>4.9509999999999996</v>
      </c>
      <c r="Q72" s="62"/>
      <c r="R72" s="62"/>
      <c r="S72" s="83"/>
      <c r="T72" s="84" t="s">
        <v>59</v>
      </c>
      <c r="U72" s="12"/>
      <c r="V72" s="41"/>
      <c r="W72" s="41"/>
    </row>
    <row r="73" spans="1:25" s="96" customFormat="1" ht="38.25" customHeight="1" x14ac:dyDescent="0.25">
      <c r="A73" s="58">
        <v>47</v>
      </c>
      <c r="B73" s="71" t="s">
        <v>173</v>
      </c>
      <c r="C73" s="95" t="s">
        <v>174</v>
      </c>
      <c r="D73" s="94" t="s">
        <v>175</v>
      </c>
      <c r="E73" s="62">
        <v>0</v>
      </c>
      <c r="F73" s="90">
        <v>1.2490000000000001</v>
      </c>
      <c r="G73" s="62">
        <f t="shared" si="0"/>
        <v>1.2490000000000001</v>
      </c>
      <c r="H73" s="62">
        <f>I73+J73+K73+L73+M73</f>
        <v>1.2490000000000001</v>
      </c>
      <c r="I73" s="90"/>
      <c r="J73" s="90">
        <v>1.2490000000000001</v>
      </c>
      <c r="K73" s="90"/>
      <c r="L73" s="90"/>
      <c r="M73" s="90"/>
      <c r="N73" s="90"/>
      <c r="O73" s="90"/>
      <c r="P73" s="62">
        <v>1.2490000000000001</v>
      </c>
      <c r="Q73" s="62"/>
      <c r="R73" s="62"/>
      <c r="S73" s="83"/>
      <c r="T73" s="84" t="s">
        <v>38</v>
      </c>
      <c r="U73" s="12"/>
      <c r="V73" s="41"/>
      <c r="W73" s="41"/>
      <c r="X73" s="93"/>
      <c r="Y73" s="93"/>
    </row>
    <row r="74" spans="1:25" s="96" customFormat="1" ht="38.25" customHeight="1" x14ac:dyDescent="0.25">
      <c r="A74" s="58">
        <v>48</v>
      </c>
      <c r="B74" s="71" t="s">
        <v>176</v>
      </c>
      <c r="C74" s="95" t="s">
        <v>177</v>
      </c>
      <c r="D74" s="94" t="s">
        <v>178</v>
      </c>
      <c r="E74" s="62">
        <v>0</v>
      </c>
      <c r="F74" s="90">
        <v>3.827</v>
      </c>
      <c r="G74" s="62">
        <f t="shared" si="0"/>
        <v>3.827</v>
      </c>
      <c r="H74" s="62">
        <f>I74+J74+K74+L74+M74</f>
        <v>3.827</v>
      </c>
      <c r="I74" s="90">
        <f>2.927+0.9</f>
        <v>3.827</v>
      </c>
      <c r="J74" s="90"/>
      <c r="K74" s="90"/>
      <c r="L74" s="90"/>
      <c r="M74" s="90"/>
      <c r="N74" s="90"/>
      <c r="O74" s="90"/>
      <c r="P74" s="62"/>
      <c r="Q74" s="62">
        <f>H74</f>
        <v>3.827</v>
      </c>
      <c r="R74" s="62"/>
      <c r="S74" s="83"/>
      <c r="T74" s="84" t="s">
        <v>52</v>
      </c>
      <c r="U74" s="12"/>
      <c r="V74" s="41"/>
      <c r="W74" s="41"/>
      <c r="X74" s="93"/>
      <c r="Y74" s="93"/>
    </row>
    <row r="75" spans="1:25" s="100" customFormat="1" ht="19.5" customHeight="1" x14ac:dyDescent="0.25">
      <c r="A75" s="58">
        <v>49</v>
      </c>
      <c r="B75" s="71" t="s">
        <v>179</v>
      </c>
      <c r="C75" s="95" t="s">
        <v>180</v>
      </c>
      <c r="D75" s="94" t="s">
        <v>181</v>
      </c>
      <c r="E75" s="62">
        <v>0</v>
      </c>
      <c r="F75" s="90">
        <v>1.1060000000000001</v>
      </c>
      <c r="G75" s="62">
        <f t="shared" si="0"/>
        <v>1.1060000000000001</v>
      </c>
      <c r="H75" s="62">
        <f>I75+J75+K75+L75+M75</f>
        <v>1.1060000000000001</v>
      </c>
      <c r="I75" s="90"/>
      <c r="J75" s="90">
        <v>1.1060000000000001</v>
      </c>
      <c r="K75" s="90"/>
      <c r="L75" s="90"/>
      <c r="M75" s="90"/>
      <c r="N75" s="90"/>
      <c r="O75" s="90"/>
      <c r="P75" s="62"/>
      <c r="Q75" s="62"/>
      <c r="R75" s="62">
        <f>H75</f>
        <v>1.1060000000000001</v>
      </c>
      <c r="S75" s="83"/>
      <c r="T75" s="84" t="s">
        <v>52</v>
      </c>
      <c r="U75" s="97"/>
      <c r="V75" s="98"/>
      <c r="W75" s="98"/>
      <c r="X75" s="99"/>
    </row>
    <row r="76" spans="1:25" s="111" customFormat="1" ht="34.5" customHeight="1" x14ac:dyDescent="0.25">
      <c r="A76" s="101">
        <v>50</v>
      </c>
      <c r="B76" s="102" t="s">
        <v>182</v>
      </c>
      <c r="C76" s="103" t="s">
        <v>183</v>
      </c>
      <c r="D76" s="104" t="s">
        <v>184</v>
      </c>
      <c r="E76" s="105">
        <v>0</v>
      </c>
      <c r="F76" s="106">
        <v>0.17899999999999999</v>
      </c>
      <c r="G76" s="107">
        <f>F76-E76</f>
        <v>0.17899999999999999</v>
      </c>
      <c r="H76" s="107">
        <f>I76+J76+K76+L76+M76</f>
        <v>0.17899999999999999</v>
      </c>
      <c r="I76" s="106"/>
      <c r="J76" s="106">
        <v>0.17899999999999999</v>
      </c>
      <c r="K76" s="106"/>
      <c r="L76" s="106"/>
      <c r="M76" s="106"/>
      <c r="N76" s="106"/>
      <c r="O76" s="106"/>
      <c r="P76" s="107">
        <v>0.17899999999999999</v>
      </c>
      <c r="Q76" s="107"/>
      <c r="R76" s="107"/>
      <c r="S76" s="105"/>
      <c r="T76" s="108" t="s">
        <v>38</v>
      </c>
      <c r="U76" s="97"/>
      <c r="V76" s="109"/>
      <c r="W76" s="109"/>
      <c r="X76" s="110"/>
    </row>
    <row r="77" spans="1:25" s="93" customFormat="1" ht="19.5" customHeight="1" thickBot="1" x14ac:dyDescent="0.3">
      <c r="A77" s="494" t="s">
        <v>185</v>
      </c>
      <c r="B77" s="495"/>
      <c r="C77" s="495"/>
      <c r="D77" s="496"/>
      <c r="E77" s="112"/>
      <c r="F77" s="113"/>
      <c r="G77" s="114">
        <f t="shared" ref="G77:S77" si="4">SUM(G23:G76)</f>
        <v>238.86099999999996</v>
      </c>
      <c r="H77" s="114">
        <f t="shared" si="4"/>
        <v>238.86099999999996</v>
      </c>
      <c r="I77" s="114">
        <f t="shared" si="4"/>
        <v>18.337</v>
      </c>
      <c r="J77" s="114">
        <f t="shared" si="4"/>
        <v>185.01100000000002</v>
      </c>
      <c r="K77" s="114">
        <f t="shared" si="4"/>
        <v>7.5380000000000003</v>
      </c>
      <c r="L77" s="114">
        <f t="shared" si="4"/>
        <v>27.974999999999998</v>
      </c>
      <c r="M77" s="114">
        <f t="shared" si="4"/>
        <v>0</v>
      </c>
      <c r="N77" s="114">
        <f t="shared" si="4"/>
        <v>0</v>
      </c>
      <c r="O77" s="114">
        <f t="shared" si="4"/>
        <v>7.8819999999999997</v>
      </c>
      <c r="P77" s="114">
        <f t="shared" si="4"/>
        <v>13.423</v>
      </c>
      <c r="Q77" s="114">
        <f t="shared" si="4"/>
        <v>50.51</v>
      </c>
      <c r="R77" s="114">
        <f t="shared" si="4"/>
        <v>161.85699999999997</v>
      </c>
      <c r="S77" s="114">
        <f t="shared" si="4"/>
        <v>5.1890000000000001</v>
      </c>
      <c r="T77" s="115"/>
      <c r="U77" s="12"/>
      <c r="V77" s="41"/>
      <c r="W77" s="41"/>
    </row>
    <row r="78" spans="1:25" ht="17.25" thickTop="1" x14ac:dyDescent="0.25">
      <c r="A78" s="497" t="s">
        <v>186</v>
      </c>
      <c r="B78" s="498"/>
      <c r="C78" s="499"/>
      <c r="D78" s="499"/>
      <c r="E78" s="499"/>
      <c r="F78" s="499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7"/>
      <c r="T78" s="118"/>
      <c r="V78" s="119"/>
      <c r="W78" s="41"/>
    </row>
    <row r="79" spans="1:25" s="123" customFormat="1" ht="16.5" x14ac:dyDescent="0.25">
      <c r="A79" s="500"/>
      <c r="B79" s="501"/>
      <c r="C79" s="502"/>
      <c r="D79" s="502"/>
      <c r="E79" s="502"/>
      <c r="F79" s="502"/>
      <c r="G79" s="120">
        <f t="shared" ref="G79:R79" si="5">SUM(G21,G77)</f>
        <v>327.58099999999996</v>
      </c>
      <c r="H79" s="120">
        <f t="shared" si="5"/>
        <v>327.58099999999996</v>
      </c>
      <c r="I79" s="120">
        <f t="shared" si="5"/>
        <v>20.117000000000001</v>
      </c>
      <c r="J79" s="120">
        <f t="shared" si="5"/>
        <v>271.95100000000002</v>
      </c>
      <c r="K79" s="120">
        <f t="shared" si="5"/>
        <v>7.5380000000000003</v>
      </c>
      <c r="L79" s="120">
        <f t="shared" si="5"/>
        <v>27.974999999999998</v>
      </c>
      <c r="M79" s="120">
        <f t="shared" si="5"/>
        <v>0</v>
      </c>
      <c r="N79" s="120">
        <f t="shared" si="5"/>
        <v>0</v>
      </c>
      <c r="O79" s="120">
        <f t="shared" si="5"/>
        <v>21.462</v>
      </c>
      <c r="P79" s="120">
        <f t="shared" si="5"/>
        <v>88.563000000000017</v>
      </c>
      <c r="Q79" s="120">
        <f t="shared" si="5"/>
        <v>50.51</v>
      </c>
      <c r="R79" s="120">
        <f t="shared" si="5"/>
        <v>161.85699999999997</v>
      </c>
      <c r="S79" s="121">
        <f>SUM(S77,S21)</f>
        <v>5.1890000000000001</v>
      </c>
      <c r="T79" s="122"/>
      <c r="V79" s="124"/>
      <c r="W79" s="41"/>
    </row>
    <row r="80" spans="1:25" ht="17.25" thickBot="1" x14ac:dyDescent="0.3">
      <c r="A80" s="503"/>
      <c r="B80" s="504"/>
      <c r="C80" s="505"/>
      <c r="D80" s="505"/>
      <c r="E80" s="505"/>
      <c r="F80" s="50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6"/>
      <c r="T80" s="127"/>
      <c r="V80" s="119"/>
      <c r="W80" s="41"/>
    </row>
    <row r="81" spans="1:35" ht="17.25" thickTop="1" x14ac:dyDescent="0.25">
      <c r="A81" s="74"/>
      <c r="B81" s="74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9"/>
      <c r="T81" s="129"/>
      <c r="V81" s="119"/>
    </row>
    <row r="82" spans="1:35" ht="15.75" x14ac:dyDescent="0.25">
      <c r="A82" s="74"/>
      <c r="B82" s="74"/>
      <c r="C82" s="130"/>
      <c r="D82" s="74"/>
      <c r="E82" s="74"/>
      <c r="F82" s="74"/>
      <c r="G82" s="131"/>
      <c r="H82" s="74"/>
      <c r="I82" s="74"/>
      <c r="J82" s="74"/>
      <c r="K82" s="74"/>
      <c r="L82" s="74"/>
      <c r="M82" s="74"/>
      <c r="N82" s="74"/>
      <c r="O82" s="74"/>
      <c r="P82" s="74"/>
      <c r="Q82" s="77"/>
      <c r="R82" s="74"/>
      <c r="V82" s="119"/>
    </row>
    <row r="83" spans="1:35" ht="18.75" x14ac:dyDescent="0.3">
      <c r="A83" s="74"/>
      <c r="B83" s="74"/>
      <c r="C83" s="130"/>
      <c r="D83" s="74"/>
      <c r="E83" s="74"/>
      <c r="F83" s="74"/>
      <c r="G83" s="74"/>
      <c r="H83" s="74"/>
      <c r="I83" s="77"/>
      <c r="J83" s="74"/>
      <c r="K83" s="132"/>
      <c r="L83" s="74"/>
      <c r="M83" s="74"/>
      <c r="N83" s="74"/>
      <c r="O83" s="74"/>
      <c r="P83" s="74"/>
      <c r="Q83" s="74"/>
      <c r="R83" s="74"/>
      <c r="V83" s="119"/>
    </row>
    <row r="84" spans="1:35" x14ac:dyDescent="0.2">
      <c r="A84" s="74"/>
      <c r="B84" s="74"/>
      <c r="C84" s="133"/>
      <c r="D84" s="74"/>
      <c r="E84" s="74"/>
      <c r="F84" s="77"/>
      <c r="G84" s="74"/>
      <c r="H84" s="74"/>
      <c r="I84" s="74"/>
      <c r="J84" s="77"/>
      <c r="K84" s="74"/>
      <c r="L84" s="74"/>
      <c r="M84" s="74"/>
      <c r="N84" s="74"/>
      <c r="O84" s="74"/>
      <c r="P84" s="74"/>
      <c r="Q84" s="74"/>
      <c r="R84" s="74"/>
      <c r="V84" s="119"/>
      <c r="X84" s="134"/>
      <c r="Y84" s="135"/>
      <c r="Z84" s="136"/>
      <c r="AA84" s="136"/>
      <c r="AB84" s="137"/>
      <c r="AC84" s="137"/>
      <c r="AD84" s="137"/>
      <c r="AE84" s="137"/>
      <c r="AF84" s="137"/>
      <c r="AG84" s="137"/>
      <c r="AH84" s="137"/>
      <c r="AI84" s="137"/>
    </row>
    <row r="85" spans="1:35" ht="15.75" x14ac:dyDescent="0.25">
      <c r="A85" s="74"/>
      <c r="B85" s="74"/>
      <c r="C85" s="138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131"/>
      <c r="P85" s="74"/>
      <c r="Q85" s="74"/>
      <c r="R85" s="74"/>
      <c r="V85" s="119"/>
      <c r="X85" s="134"/>
      <c r="Y85" s="135"/>
      <c r="Z85" s="136"/>
      <c r="AA85" s="136"/>
      <c r="AB85" s="137"/>
      <c r="AC85" s="137"/>
      <c r="AD85" s="137"/>
      <c r="AE85" s="137"/>
      <c r="AF85" s="137"/>
      <c r="AG85" s="137"/>
      <c r="AH85" s="137"/>
      <c r="AI85" s="137"/>
    </row>
    <row r="86" spans="1:35" ht="18.75" x14ac:dyDescent="0.3">
      <c r="A86" s="74"/>
      <c r="B86" s="74"/>
      <c r="C86" s="139"/>
      <c r="D86" s="132"/>
      <c r="E86" s="140"/>
      <c r="F86" s="140"/>
      <c r="G86" s="140"/>
      <c r="H86" s="140"/>
      <c r="I86" s="74"/>
      <c r="J86" s="132"/>
      <c r="K86" s="141"/>
      <c r="L86" s="132"/>
      <c r="M86" s="132"/>
      <c r="N86" s="74"/>
      <c r="O86" s="142"/>
      <c r="P86" s="74"/>
      <c r="Q86" s="74"/>
      <c r="R86" s="74"/>
      <c r="V86" s="119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1:35" x14ac:dyDescent="0.2">
      <c r="A87" s="74"/>
      <c r="B87" s="74"/>
      <c r="C87" s="74"/>
      <c r="D87" s="74"/>
      <c r="E87" s="143"/>
      <c r="F87" s="143"/>
      <c r="G87" s="143"/>
      <c r="H87" s="143"/>
      <c r="I87" s="74"/>
      <c r="J87" s="74"/>
      <c r="K87" s="74"/>
      <c r="L87" s="74"/>
      <c r="M87" s="74"/>
      <c r="N87" s="74"/>
      <c r="O87" s="74"/>
      <c r="P87" s="74"/>
      <c r="Q87" s="74"/>
      <c r="R87" s="74"/>
      <c r="V87" s="119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5" x14ac:dyDescent="0.2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V88" s="119"/>
    </row>
    <row r="89" spans="1:35" ht="15" x14ac:dyDescent="0.2">
      <c r="A89" s="74"/>
      <c r="B89" s="74"/>
      <c r="C89" s="74"/>
      <c r="D89" s="144"/>
      <c r="E89" s="144"/>
      <c r="F89" s="144"/>
      <c r="G89" s="144"/>
      <c r="H89" s="144"/>
      <c r="I89" s="74"/>
      <c r="J89" s="74"/>
      <c r="K89" s="74"/>
      <c r="L89" s="74"/>
      <c r="M89" s="74"/>
      <c r="N89" s="74"/>
      <c r="O89" s="74"/>
      <c r="P89" s="74"/>
      <c r="Q89" s="74"/>
      <c r="R89" s="74"/>
      <c r="V89" s="119"/>
    </row>
    <row r="90" spans="1:35" ht="15" x14ac:dyDescent="0.2">
      <c r="A90" s="74"/>
      <c r="B90" s="74"/>
      <c r="C90" s="74"/>
      <c r="D90" s="144"/>
      <c r="E90" s="144"/>
      <c r="F90" s="144"/>
      <c r="G90" s="144"/>
      <c r="H90" s="144"/>
      <c r="I90" s="74"/>
      <c r="J90" s="74"/>
      <c r="K90" s="74"/>
      <c r="L90" s="74"/>
      <c r="M90" s="74"/>
      <c r="N90" s="74"/>
      <c r="O90" s="74"/>
      <c r="P90" s="74"/>
      <c r="Q90" s="74"/>
      <c r="R90" s="74"/>
      <c r="V90" s="119"/>
    </row>
    <row r="91" spans="1:35" ht="15" x14ac:dyDescent="0.2">
      <c r="A91" s="74"/>
      <c r="B91" s="74"/>
      <c r="C91" s="74"/>
      <c r="D91" s="144"/>
      <c r="E91" s="144"/>
      <c r="F91" s="144"/>
      <c r="G91" s="144"/>
      <c r="H91" s="144"/>
      <c r="I91" s="74"/>
      <c r="J91" s="74"/>
      <c r="K91" s="74"/>
      <c r="L91" s="74"/>
      <c r="M91" s="74"/>
      <c r="N91" s="74"/>
      <c r="O91" s="74"/>
      <c r="P91" s="74"/>
      <c r="Q91" s="74"/>
      <c r="R91" s="74"/>
      <c r="V91" s="119"/>
    </row>
    <row r="92" spans="1:35" ht="15" x14ac:dyDescent="0.2">
      <c r="A92" s="74"/>
      <c r="B92" s="74"/>
      <c r="C92" s="145"/>
      <c r="D92" s="144"/>
      <c r="E92" s="144"/>
      <c r="F92" s="144"/>
      <c r="G92" s="144"/>
      <c r="H92" s="144"/>
      <c r="I92" s="74"/>
      <c r="J92" s="74"/>
      <c r="K92" s="74"/>
      <c r="L92" s="74"/>
      <c r="M92" s="74"/>
      <c r="N92" s="74"/>
      <c r="O92" s="74"/>
      <c r="P92" s="74"/>
      <c r="Q92" s="74"/>
      <c r="R92" s="74"/>
      <c r="V92" s="119"/>
    </row>
    <row r="93" spans="1:35" ht="15" x14ac:dyDescent="0.2">
      <c r="A93" s="74"/>
      <c r="B93" s="74"/>
      <c r="C93" s="74"/>
      <c r="D93" s="144"/>
      <c r="E93" s="144"/>
      <c r="F93" s="144"/>
      <c r="G93" s="144"/>
      <c r="H93" s="144"/>
      <c r="I93" s="74"/>
      <c r="J93" s="74"/>
      <c r="K93" s="74"/>
      <c r="L93" s="74"/>
      <c r="M93" s="74"/>
      <c r="N93" s="74"/>
      <c r="O93" s="74"/>
      <c r="P93" s="74"/>
      <c r="Q93" s="74"/>
      <c r="R93" s="74"/>
      <c r="V93" s="119"/>
    </row>
    <row r="94" spans="1:35" ht="15" x14ac:dyDescent="0.2">
      <c r="A94" s="74"/>
      <c r="B94" s="74"/>
      <c r="C94" s="74"/>
      <c r="D94" s="144"/>
      <c r="E94" s="144"/>
      <c r="F94" s="144"/>
      <c r="G94" s="144"/>
      <c r="H94" s="144"/>
      <c r="I94" s="74"/>
      <c r="J94" s="74"/>
      <c r="K94" s="74"/>
      <c r="L94" s="74"/>
      <c r="M94" s="74"/>
      <c r="N94" s="74"/>
      <c r="O94" s="74"/>
      <c r="P94" s="74"/>
      <c r="Q94" s="74"/>
      <c r="R94" s="74"/>
      <c r="V94" s="119"/>
    </row>
    <row r="95" spans="1:35" ht="15.75" x14ac:dyDescent="0.25">
      <c r="A95" s="74"/>
      <c r="B95" s="74"/>
      <c r="C95" s="74"/>
      <c r="D95" s="144"/>
      <c r="E95" s="146"/>
      <c r="F95" s="144"/>
      <c r="G95" s="144"/>
      <c r="H95" s="144"/>
      <c r="I95" s="74"/>
      <c r="J95" s="74"/>
      <c r="K95" s="74"/>
      <c r="L95" s="74"/>
      <c r="M95" s="74"/>
      <c r="N95" s="74"/>
      <c r="O95" s="74"/>
      <c r="P95" s="74"/>
      <c r="Q95" s="74"/>
      <c r="R95" s="74"/>
      <c r="V95" s="119"/>
    </row>
    <row r="96" spans="1:35" ht="15" x14ac:dyDescent="0.2">
      <c r="A96" s="74"/>
      <c r="B96" s="74"/>
      <c r="C96" s="74"/>
      <c r="D96" s="144"/>
      <c r="E96" s="144"/>
      <c r="F96" s="144"/>
      <c r="G96" s="144"/>
      <c r="H96" s="144"/>
      <c r="I96" s="74"/>
      <c r="J96" s="74"/>
      <c r="K96" s="74"/>
      <c r="L96" s="74"/>
      <c r="M96" s="74"/>
      <c r="N96" s="74"/>
      <c r="O96" s="74"/>
      <c r="P96" s="74"/>
      <c r="Q96" s="74"/>
      <c r="R96" s="74"/>
      <c r="V96" s="119"/>
    </row>
    <row r="97" spans="1:22" x14ac:dyDescent="0.2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V97" s="119"/>
    </row>
    <row r="98" spans="1:22" x14ac:dyDescent="0.2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V98" s="119"/>
    </row>
    <row r="99" spans="1:22" x14ac:dyDescent="0.2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V99" s="119"/>
    </row>
    <row r="100" spans="1:22" x14ac:dyDescent="0.2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V100" s="119"/>
    </row>
    <row r="101" spans="1:22" x14ac:dyDescent="0.2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V101" s="119"/>
    </row>
    <row r="102" spans="1:22" x14ac:dyDescent="0.2">
      <c r="V102" s="119"/>
    </row>
    <row r="103" spans="1:22" x14ac:dyDescent="0.2">
      <c r="V103" s="119"/>
    </row>
    <row r="104" spans="1:22" x14ac:dyDescent="0.2">
      <c r="V104" s="119"/>
    </row>
    <row r="105" spans="1:22" x14ac:dyDescent="0.2">
      <c r="V105" s="119"/>
    </row>
    <row r="106" spans="1:22" x14ac:dyDescent="0.2">
      <c r="V106" s="119"/>
    </row>
    <row r="107" spans="1:22" x14ac:dyDescent="0.2">
      <c r="V107" s="119"/>
    </row>
    <row r="108" spans="1:22" x14ac:dyDescent="0.2">
      <c r="V108" s="119"/>
    </row>
    <row r="109" spans="1:22" x14ac:dyDescent="0.2">
      <c r="V109" s="119"/>
    </row>
    <row r="110" spans="1:22" x14ac:dyDescent="0.2">
      <c r="V110" s="119"/>
    </row>
    <row r="111" spans="1:22" x14ac:dyDescent="0.2">
      <c r="V111" s="119"/>
    </row>
    <row r="112" spans="1:22" x14ac:dyDescent="0.2">
      <c r="V112" s="119"/>
    </row>
    <row r="113" spans="22:22" x14ac:dyDescent="0.2">
      <c r="V113" s="119"/>
    </row>
    <row r="114" spans="22:22" x14ac:dyDescent="0.2">
      <c r="V114" s="119"/>
    </row>
    <row r="115" spans="22:22" x14ac:dyDescent="0.2">
      <c r="V115" s="119"/>
    </row>
    <row r="116" spans="22:22" x14ac:dyDescent="0.2">
      <c r="V116" s="119"/>
    </row>
    <row r="117" spans="22:22" x14ac:dyDescent="0.2">
      <c r="V117" s="119"/>
    </row>
    <row r="118" spans="22:22" x14ac:dyDescent="0.2">
      <c r="V118" s="119"/>
    </row>
    <row r="119" spans="22:22" x14ac:dyDescent="0.2">
      <c r="V119" s="119"/>
    </row>
    <row r="120" spans="22:22" x14ac:dyDescent="0.2">
      <c r="V120" s="119"/>
    </row>
    <row r="121" spans="22:22" x14ac:dyDescent="0.2">
      <c r="V121" s="119"/>
    </row>
    <row r="122" spans="22:22" x14ac:dyDescent="0.2">
      <c r="V122" s="119"/>
    </row>
    <row r="123" spans="22:22" x14ac:dyDescent="0.2">
      <c r="V123" s="119"/>
    </row>
    <row r="124" spans="22:22" x14ac:dyDescent="0.2">
      <c r="V124" s="119"/>
    </row>
    <row r="125" spans="22:22" x14ac:dyDescent="0.2">
      <c r="V125" s="119"/>
    </row>
    <row r="126" spans="22:22" x14ac:dyDescent="0.2">
      <c r="V126" s="119"/>
    </row>
    <row r="127" spans="22:22" x14ac:dyDescent="0.2">
      <c r="V127" s="119"/>
    </row>
    <row r="128" spans="22:22" x14ac:dyDescent="0.2">
      <c r="V128" s="119"/>
    </row>
    <row r="129" spans="22:22" x14ac:dyDescent="0.2">
      <c r="V129" s="119"/>
    </row>
    <row r="130" spans="22:22" x14ac:dyDescent="0.2">
      <c r="V130" s="119"/>
    </row>
    <row r="131" spans="22:22" x14ac:dyDescent="0.2">
      <c r="V131" s="119"/>
    </row>
    <row r="132" spans="22:22" x14ac:dyDescent="0.2">
      <c r="V132" s="119"/>
    </row>
    <row r="133" spans="22:22" x14ac:dyDescent="0.2">
      <c r="V133" s="119"/>
    </row>
    <row r="134" spans="22:22" x14ac:dyDescent="0.2">
      <c r="V134" s="119"/>
    </row>
    <row r="135" spans="22:22" x14ac:dyDescent="0.2">
      <c r="V135" s="119"/>
    </row>
    <row r="136" spans="22:22" x14ac:dyDescent="0.2">
      <c r="V136" s="119"/>
    </row>
    <row r="137" spans="22:22" x14ac:dyDescent="0.2">
      <c r="V137" s="119"/>
    </row>
    <row r="138" spans="22:22" x14ac:dyDescent="0.2">
      <c r="V138" s="119"/>
    </row>
    <row r="139" spans="22:22" x14ac:dyDescent="0.2">
      <c r="V139" s="119"/>
    </row>
    <row r="140" spans="22:22" x14ac:dyDescent="0.2">
      <c r="V140" s="119"/>
    </row>
    <row r="141" spans="22:22" x14ac:dyDescent="0.2">
      <c r="V141" s="119"/>
    </row>
    <row r="142" spans="22:22" x14ac:dyDescent="0.2">
      <c r="V142" s="119"/>
    </row>
    <row r="143" spans="22:22" x14ac:dyDescent="0.2">
      <c r="V143" s="119"/>
    </row>
    <row r="144" spans="22:22" x14ac:dyDescent="0.2">
      <c r="V144" s="119"/>
    </row>
    <row r="145" spans="22:22" x14ac:dyDescent="0.2">
      <c r="V145" s="119"/>
    </row>
    <row r="146" spans="22:22" x14ac:dyDescent="0.2">
      <c r="V146" s="119"/>
    </row>
    <row r="147" spans="22:22" x14ac:dyDescent="0.2">
      <c r="V147" s="119"/>
    </row>
    <row r="148" spans="22:22" x14ac:dyDescent="0.2">
      <c r="V148" s="119"/>
    </row>
    <row r="149" spans="22:22" x14ac:dyDescent="0.2">
      <c r="V149" s="119"/>
    </row>
    <row r="150" spans="22:22" x14ac:dyDescent="0.2">
      <c r="V150" s="119"/>
    </row>
    <row r="151" spans="22:22" x14ac:dyDescent="0.2">
      <c r="V151" s="119"/>
    </row>
    <row r="152" spans="22:22" x14ac:dyDescent="0.2">
      <c r="V152" s="119"/>
    </row>
    <row r="153" spans="22:22" x14ac:dyDescent="0.2">
      <c r="V153" s="119"/>
    </row>
    <row r="154" spans="22:22" x14ac:dyDescent="0.2">
      <c r="V154" s="119"/>
    </row>
    <row r="155" spans="22:22" x14ac:dyDescent="0.2">
      <c r="V155" s="119"/>
    </row>
    <row r="156" spans="22:22" x14ac:dyDescent="0.2">
      <c r="V156" s="119"/>
    </row>
    <row r="157" spans="22:22" x14ac:dyDescent="0.2">
      <c r="V157" s="119"/>
    </row>
    <row r="158" spans="22:22" x14ac:dyDescent="0.2">
      <c r="V158" s="119"/>
    </row>
    <row r="159" spans="22:22" x14ac:dyDescent="0.2">
      <c r="V159" s="119"/>
    </row>
    <row r="160" spans="22:22" x14ac:dyDescent="0.2">
      <c r="V160" s="119"/>
    </row>
    <row r="161" spans="22:22" x14ac:dyDescent="0.2">
      <c r="V161" s="119"/>
    </row>
    <row r="162" spans="22:22" x14ac:dyDescent="0.2">
      <c r="V162" s="119"/>
    </row>
    <row r="163" spans="22:22" x14ac:dyDescent="0.2">
      <c r="V163" s="119"/>
    </row>
    <row r="164" spans="22:22" x14ac:dyDescent="0.2">
      <c r="V164" s="119"/>
    </row>
    <row r="165" spans="22:22" x14ac:dyDescent="0.2">
      <c r="V165" s="119"/>
    </row>
    <row r="166" spans="22:22" x14ac:dyDescent="0.2">
      <c r="V166" s="119"/>
    </row>
    <row r="167" spans="22:22" x14ac:dyDescent="0.2">
      <c r="V167" s="119"/>
    </row>
    <row r="168" spans="22:22" x14ac:dyDescent="0.2">
      <c r="V168" s="119"/>
    </row>
    <row r="169" spans="22:22" x14ac:dyDescent="0.2">
      <c r="V169" s="119"/>
    </row>
    <row r="170" spans="22:22" x14ac:dyDescent="0.2">
      <c r="V170" s="119"/>
    </row>
    <row r="171" spans="22:22" x14ac:dyDescent="0.2">
      <c r="V171" s="119"/>
    </row>
    <row r="172" spans="22:22" x14ac:dyDescent="0.2">
      <c r="V172" s="119"/>
    </row>
    <row r="173" spans="22:22" x14ac:dyDescent="0.2">
      <c r="V173" s="119"/>
    </row>
    <row r="174" spans="22:22" x14ac:dyDescent="0.2">
      <c r="V174" s="119"/>
    </row>
    <row r="175" spans="22:22" x14ac:dyDescent="0.2">
      <c r="V175" s="119"/>
    </row>
    <row r="176" spans="22:22" x14ac:dyDescent="0.2">
      <c r="V176" s="119"/>
    </row>
    <row r="177" spans="22:22" x14ac:dyDescent="0.2">
      <c r="V177" s="119"/>
    </row>
    <row r="178" spans="22:22" x14ac:dyDescent="0.2">
      <c r="V178" s="119"/>
    </row>
    <row r="179" spans="22:22" x14ac:dyDescent="0.2">
      <c r="V179" s="119"/>
    </row>
    <row r="180" spans="22:22" x14ac:dyDescent="0.2">
      <c r="V180" s="119"/>
    </row>
    <row r="181" spans="22:22" x14ac:dyDescent="0.2">
      <c r="V181" s="119"/>
    </row>
    <row r="182" spans="22:22" x14ac:dyDescent="0.2">
      <c r="V182" s="119"/>
    </row>
    <row r="183" spans="22:22" x14ac:dyDescent="0.2">
      <c r="V183" s="119"/>
    </row>
    <row r="184" spans="22:22" x14ac:dyDescent="0.2">
      <c r="V184" s="119"/>
    </row>
    <row r="185" spans="22:22" x14ac:dyDescent="0.2">
      <c r="V185" s="119"/>
    </row>
    <row r="186" spans="22:22" x14ac:dyDescent="0.2">
      <c r="V186" s="119"/>
    </row>
    <row r="187" spans="22:22" x14ac:dyDescent="0.2">
      <c r="V187" s="119"/>
    </row>
    <row r="188" spans="22:22" x14ac:dyDescent="0.2">
      <c r="V188" s="119"/>
    </row>
    <row r="189" spans="22:22" x14ac:dyDescent="0.2">
      <c r="V189" s="119"/>
    </row>
    <row r="190" spans="22:22" x14ac:dyDescent="0.2">
      <c r="V190" s="119"/>
    </row>
    <row r="191" spans="22:22" x14ac:dyDescent="0.2">
      <c r="V191" s="119"/>
    </row>
    <row r="192" spans="22:22" x14ac:dyDescent="0.2">
      <c r="V192" s="119"/>
    </row>
    <row r="193" spans="22:22" x14ac:dyDescent="0.2">
      <c r="V193" s="119"/>
    </row>
    <row r="194" spans="22:22" x14ac:dyDescent="0.2">
      <c r="V194" s="119"/>
    </row>
    <row r="195" spans="22:22" x14ac:dyDescent="0.2">
      <c r="V195" s="119"/>
    </row>
    <row r="196" spans="22:22" x14ac:dyDescent="0.2">
      <c r="V196" s="119"/>
    </row>
    <row r="197" spans="22:22" x14ac:dyDescent="0.2">
      <c r="V197" s="119"/>
    </row>
    <row r="198" spans="22:22" x14ac:dyDescent="0.2">
      <c r="V198" s="119"/>
    </row>
    <row r="199" spans="22:22" x14ac:dyDescent="0.2">
      <c r="V199" s="119"/>
    </row>
    <row r="200" spans="22:22" x14ac:dyDescent="0.2">
      <c r="V200" s="119"/>
    </row>
    <row r="201" spans="22:22" x14ac:dyDescent="0.2">
      <c r="V201" s="119"/>
    </row>
    <row r="202" spans="22:22" x14ac:dyDescent="0.2">
      <c r="V202" s="119"/>
    </row>
    <row r="203" spans="22:22" x14ac:dyDescent="0.2">
      <c r="V203" s="119"/>
    </row>
    <row r="204" spans="22:22" x14ac:dyDescent="0.2">
      <c r="V204" s="119"/>
    </row>
    <row r="205" spans="22:22" x14ac:dyDescent="0.2">
      <c r="V205" s="119"/>
    </row>
    <row r="206" spans="22:22" x14ac:dyDescent="0.2">
      <c r="V206" s="119"/>
    </row>
    <row r="207" spans="22:22" x14ac:dyDescent="0.2">
      <c r="V207" s="119"/>
    </row>
    <row r="208" spans="22:22" x14ac:dyDescent="0.2">
      <c r="V208" s="119"/>
    </row>
    <row r="209" spans="22:22" x14ac:dyDescent="0.2">
      <c r="V209" s="119"/>
    </row>
    <row r="210" spans="22:22" x14ac:dyDescent="0.2">
      <c r="V210" s="119"/>
    </row>
    <row r="211" spans="22:22" x14ac:dyDescent="0.2">
      <c r="V211" s="3"/>
    </row>
    <row r="212" spans="22:22" x14ac:dyDescent="0.2">
      <c r="V212" s="3"/>
    </row>
    <row r="213" spans="22:22" x14ac:dyDescent="0.2">
      <c r="V213" s="3"/>
    </row>
    <row r="214" spans="22:22" x14ac:dyDescent="0.2">
      <c r="V214" s="3"/>
    </row>
    <row r="215" spans="22:22" x14ac:dyDescent="0.2">
      <c r="V215" s="3"/>
    </row>
    <row r="216" spans="22:22" x14ac:dyDescent="0.2">
      <c r="V216" s="3"/>
    </row>
    <row r="217" spans="22:22" x14ac:dyDescent="0.2">
      <c r="V217" s="3"/>
    </row>
    <row r="218" spans="22:22" x14ac:dyDescent="0.2">
      <c r="V218" s="3"/>
    </row>
    <row r="219" spans="22:22" x14ac:dyDescent="0.2">
      <c r="V219" s="3"/>
    </row>
    <row r="220" spans="22:22" x14ac:dyDescent="0.2">
      <c r="V220" s="3"/>
    </row>
    <row r="221" spans="22:22" x14ac:dyDescent="0.2">
      <c r="V221" s="3"/>
    </row>
    <row r="222" spans="22:22" x14ac:dyDescent="0.2">
      <c r="V222" s="3"/>
    </row>
    <row r="223" spans="22:22" x14ac:dyDescent="0.2">
      <c r="V223" s="3"/>
    </row>
    <row r="224" spans="22:22" x14ac:dyDescent="0.2">
      <c r="V224" s="3"/>
    </row>
    <row r="225" spans="22:22" x14ac:dyDescent="0.2">
      <c r="V225" s="3"/>
    </row>
    <row r="226" spans="22:22" x14ac:dyDescent="0.2">
      <c r="V226" s="3"/>
    </row>
    <row r="227" spans="22:22" x14ac:dyDescent="0.2">
      <c r="V227" s="3"/>
    </row>
    <row r="228" spans="22:22" x14ac:dyDescent="0.2">
      <c r="V228" s="3"/>
    </row>
    <row r="229" spans="22:22" x14ac:dyDescent="0.2">
      <c r="V229" s="3"/>
    </row>
    <row r="230" spans="22:22" x14ac:dyDescent="0.2">
      <c r="V230" s="3"/>
    </row>
    <row r="231" spans="22:22" x14ac:dyDescent="0.2">
      <c r="V231" s="3"/>
    </row>
    <row r="232" spans="22:22" x14ac:dyDescent="0.2">
      <c r="V232" s="3"/>
    </row>
    <row r="233" spans="22:22" x14ac:dyDescent="0.2">
      <c r="V233" s="3"/>
    </row>
    <row r="234" spans="22:22" x14ac:dyDescent="0.2">
      <c r="V234" s="3"/>
    </row>
    <row r="235" spans="22:22" x14ac:dyDescent="0.2">
      <c r="V235" s="3"/>
    </row>
    <row r="236" spans="22:22" x14ac:dyDescent="0.2">
      <c r="V236" s="3"/>
    </row>
    <row r="237" spans="22:22" x14ac:dyDescent="0.2">
      <c r="V237" s="3"/>
    </row>
    <row r="238" spans="22:22" x14ac:dyDescent="0.2">
      <c r="V238" s="3"/>
    </row>
    <row r="239" spans="22:22" x14ac:dyDescent="0.2">
      <c r="V239" s="3"/>
    </row>
    <row r="240" spans="22:22" x14ac:dyDescent="0.2">
      <c r="V240" s="3"/>
    </row>
    <row r="241" spans="22:22" x14ac:dyDescent="0.2">
      <c r="V241" s="3"/>
    </row>
    <row r="242" spans="22:22" x14ac:dyDescent="0.2">
      <c r="V242" s="3"/>
    </row>
    <row r="243" spans="22:22" x14ac:dyDescent="0.2">
      <c r="V243" s="3"/>
    </row>
    <row r="244" spans="22:22" x14ac:dyDescent="0.2">
      <c r="V244" s="3"/>
    </row>
    <row r="245" spans="22:22" x14ac:dyDescent="0.2">
      <c r="V245" s="3"/>
    </row>
    <row r="246" spans="22:22" x14ac:dyDescent="0.2">
      <c r="V246" s="3"/>
    </row>
    <row r="247" spans="22:22" x14ac:dyDescent="0.2">
      <c r="V247" s="3"/>
    </row>
    <row r="248" spans="22:22" x14ac:dyDescent="0.2">
      <c r="V248" s="3"/>
    </row>
    <row r="249" spans="22:22" x14ac:dyDescent="0.2">
      <c r="V249" s="3"/>
    </row>
    <row r="250" spans="22:22" x14ac:dyDescent="0.2">
      <c r="V250" s="3"/>
    </row>
    <row r="251" spans="22:22" x14ac:dyDescent="0.2">
      <c r="V251" s="3"/>
    </row>
    <row r="252" spans="22:22" x14ac:dyDescent="0.2">
      <c r="V252" s="3"/>
    </row>
    <row r="253" spans="22:22" x14ac:dyDescent="0.2">
      <c r="V253" s="3"/>
    </row>
    <row r="254" spans="22:22" x14ac:dyDescent="0.2">
      <c r="V254" s="3"/>
    </row>
    <row r="255" spans="22:22" x14ac:dyDescent="0.2">
      <c r="V255" s="3"/>
    </row>
    <row r="256" spans="22:22" x14ac:dyDescent="0.2">
      <c r="V256" s="3"/>
    </row>
    <row r="257" spans="22:22" x14ac:dyDescent="0.2">
      <c r="V257" s="3"/>
    </row>
    <row r="258" spans="22:22" x14ac:dyDescent="0.2">
      <c r="V258" s="3"/>
    </row>
    <row r="259" spans="22:22" x14ac:dyDescent="0.2">
      <c r="V259" s="3"/>
    </row>
    <row r="260" spans="22:22" x14ac:dyDescent="0.2">
      <c r="V260" s="3"/>
    </row>
    <row r="261" spans="22:22" x14ac:dyDescent="0.2">
      <c r="V261" s="3"/>
    </row>
    <row r="262" spans="22:22" x14ac:dyDescent="0.2">
      <c r="V262" s="3"/>
    </row>
    <row r="263" spans="22:22" x14ac:dyDescent="0.2">
      <c r="V263" s="3"/>
    </row>
    <row r="264" spans="22:22" x14ac:dyDescent="0.2">
      <c r="V264" s="3"/>
    </row>
    <row r="265" spans="22:22" x14ac:dyDescent="0.2">
      <c r="V265" s="3"/>
    </row>
    <row r="266" spans="22:22" x14ac:dyDescent="0.2">
      <c r="V266" s="3"/>
    </row>
    <row r="267" spans="22:22" x14ac:dyDescent="0.2">
      <c r="V267" s="3"/>
    </row>
    <row r="268" spans="22:22" x14ac:dyDescent="0.2">
      <c r="V268" s="3"/>
    </row>
    <row r="269" spans="22:22" x14ac:dyDescent="0.2">
      <c r="V269" s="3"/>
    </row>
    <row r="270" spans="22:22" x14ac:dyDescent="0.2">
      <c r="V270" s="3"/>
    </row>
    <row r="271" spans="22:22" x14ac:dyDescent="0.2">
      <c r="V271" s="3"/>
    </row>
    <row r="272" spans="22:22" x14ac:dyDescent="0.2">
      <c r="V272" s="3"/>
    </row>
    <row r="273" spans="22:22" x14ac:dyDescent="0.2">
      <c r="V273" s="3"/>
    </row>
    <row r="274" spans="22:22" x14ac:dyDescent="0.2">
      <c r="V274" s="3"/>
    </row>
    <row r="275" spans="22:22" x14ac:dyDescent="0.2">
      <c r="V275" s="3"/>
    </row>
    <row r="276" spans="22:22" x14ac:dyDescent="0.2">
      <c r="V276" s="3"/>
    </row>
    <row r="277" spans="22:22" x14ac:dyDescent="0.2">
      <c r="V277" s="3"/>
    </row>
    <row r="278" spans="22:22" x14ac:dyDescent="0.2">
      <c r="V278" s="3"/>
    </row>
    <row r="279" spans="22:22" x14ac:dyDescent="0.2">
      <c r="V279" s="3"/>
    </row>
    <row r="280" spans="22:22" x14ac:dyDescent="0.2">
      <c r="V280" s="3"/>
    </row>
    <row r="281" spans="22:22" x14ac:dyDescent="0.2">
      <c r="V281" s="3"/>
    </row>
    <row r="282" spans="22:22" x14ac:dyDescent="0.2">
      <c r="V282" s="3"/>
    </row>
    <row r="283" spans="22:22" x14ac:dyDescent="0.2">
      <c r="V283" s="3"/>
    </row>
    <row r="284" spans="22:22" x14ac:dyDescent="0.2">
      <c r="V284" s="3"/>
    </row>
    <row r="285" spans="22:22" x14ac:dyDescent="0.2">
      <c r="V285" s="3"/>
    </row>
    <row r="286" spans="22:22" x14ac:dyDescent="0.2">
      <c r="V286" s="3"/>
    </row>
    <row r="287" spans="22:22" x14ac:dyDescent="0.2">
      <c r="V287" s="3"/>
    </row>
    <row r="288" spans="22:22" x14ac:dyDescent="0.2">
      <c r="V288" s="3"/>
    </row>
    <row r="289" spans="22:22" x14ac:dyDescent="0.2">
      <c r="V289" s="3"/>
    </row>
    <row r="290" spans="22:22" x14ac:dyDescent="0.2">
      <c r="V290" s="3"/>
    </row>
    <row r="291" spans="22:22" x14ac:dyDescent="0.2">
      <c r="V291" s="3"/>
    </row>
    <row r="292" spans="22:22" x14ac:dyDescent="0.2">
      <c r="V292" s="3"/>
    </row>
    <row r="293" spans="22:22" x14ac:dyDescent="0.2">
      <c r="V293" s="3"/>
    </row>
    <row r="294" spans="22:22" x14ac:dyDescent="0.2">
      <c r="V294" s="3"/>
    </row>
    <row r="295" spans="22:22" x14ac:dyDescent="0.2">
      <c r="V295" s="3"/>
    </row>
    <row r="296" spans="22:22" x14ac:dyDescent="0.2">
      <c r="V296" s="3"/>
    </row>
    <row r="297" spans="22:22" x14ac:dyDescent="0.2">
      <c r="V297" s="3"/>
    </row>
    <row r="298" spans="22:22" x14ac:dyDescent="0.2">
      <c r="V298" s="3"/>
    </row>
    <row r="299" spans="22:22" x14ac:dyDescent="0.2">
      <c r="V299" s="3"/>
    </row>
    <row r="300" spans="22:22" x14ac:dyDescent="0.2">
      <c r="V300" s="3"/>
    </row>
    <row r="301" spans="22:22" x14ac:dyDescent="0.2">
      <c r="V301" s="3"/>
    </row>
    <row r="302" spans="22:22" x14ac:dyDescent="0.2">
      <c r="V302" s="3"/>
    </row>
    <row r="303" spans="22:22" x14ac:dyDescent="0.2">
      <c r="V303" s="3"/>
    </row>
    <row r="304" spans="22:22" x14ac:dyDescent="0.2">
      <c r="V304" s="3"/>
    </row>
    <row r="305" spans="22:22" x14ac:dyDescent="0.2">
      <c r="V305" s="3"/>
    </row>
    <row r="306" spans="22:22" x14ac:dyDescent="0.2">
      <c r="V306" s="3"/>
    </row>
    <row r="307" spans="22:22" x14ac:dyDescent="0.2">
      <c r="V307" s="3"/>
    </row>
    <row r="308" spans="22:22" x14ac:dyDescent="0.2">
      <c r="V308" s="3"/>
    </row>
    <row r="309" spans="22:22" x14ac:dyDescent="0.2">
      <c r="V309" s="3"/>
    </row>
    <row r="310" spans="22:22" x14ac:dyDescent="0.2">
      <c r="V310" s="3"/>
    </row>
    <row r="311" spans="22:22" x14ac:dyDescent="0.2">
      <c r="V311" s="3"/>
    </row>
    <row r="312" spans="22:22" x14ac:dyDescent="0.2">
      <c r="V312" s="3"/>
    </row>
    <row r="313" spans="22:22" x14ac:dyDescent="0.2">
      <c r="V313" s="3"/>
    </row>
    <row r="314" spans="22:22" x14ac:dyDescent="0.2">
      <c r="V314" s="3"/>
    </row>
    <row r="315" spans="22:22" x14ac:dyDescent="0.2">
      <c r="V315" s="3"/>
    </row>
    <row r="316" spans="22:22" x14ac:dyDescent="0.2">
      <c r="V316" s="3"/>
    </row>
    <row r="317" spans="22:22" x14ac:dyDescent="0.2">
      <c r="V317" s="3"/>
    </row>
    <row r="318" spans="22:22" x14ac:dyDescent="0.2">
      <c r="V318" s="3"/>
    </row>
    <row r="319" spans="22:22" x14ac:dyDescent="0.2">
      <c r="V319" s="3"/>
    </row>
    <row r="320" spans="22:22" x14ac:dyDescent="0.2">
      <c r="V320" s="3"/>
    </row>
    <row r="321" spans="22:22" x14ac:dyDescent="0.2">
      <c r="V321" s="3"/>
    </row>
    <row r="322" spans="22:22" x14ac:dyDescent="0.2">
      <c r="V322" s="3"/>
    </row>
    <row r="323" spans="22:22" x14ac:dyDescent="0.2">
      <c r="V323" s="3"/>
    </row>
    <row r="324" spans="22:22" x14ac:dyDescent="0.2">
      <c r="V324" s="3"/>
    </row>
    <row r="325" spans="22:22" x14ac:dyDescent="0.2">
      <c r="V325" s="3"/>
    </row>
    <row r="326" spans="22:22" x14ac:dyDescent="0.2">
      <c r="V326" s="3"/>
    </row>
    <row r="327" spans="22:22" x14ac:dyDescent="0.2">
      <c r="V327" s="3"/>
    </row>
    <row r="328" spans="22:22" x14ac:dyDescent="0.2">
      <c r="V328" s="3"/>
    </row>
    <row r="329" spans="22:22" x14ac:dyDescent="0.2">
      <c r="V329" s="3"/>
    </row>
    <row r="330" spans="22:22" x14ac:dyDescent="0.2">
      <c r="V330" s="3"/>
    </row>
    <row r="331" spans="22:22" x14ac:dyDescent="0.2">
      <c r="V331" s="3"/>
    </row>
    <row r="332" spans="22:22" x14ac:dyDescent="0.2">
      <c r="V332" s="3"/>
    </row>
    <row r="333" spans="22:22" x14ac:dyDescent="0.2">
      <c r="V333" s="3"/>
    </row>
    <row r="334" spans="22:22" x14ac:dyDescent="0.2">
      <c r="V334" s="3"/>
    </row>
    <row r="335" spans="22:22" x14ac:dyDescent="0.2">
      <c r="V335" s="3"/>
    </row>
    <row r="336" spans="22:22" x14ac:dyDescent="0.2">
      <c r="V336" s="3"/>
    </row>
    <row r="337" spans="22:22" x14ac:dyDescent="0.2">
      <c r="V337" s="3"/>
    </row>
    <row r="338" spans="22:22" x14ac:dyDescent="0.2">
      <c r="V338" s="3"/>
    </row>
    <row r="339" spans="22:22" x14ac:dyDescent="0.2">
      <c r="V339" s="3"/>
    </row>
    <row r="340" spans="22:22" x14ac:dyDescent="0.2">
      <c r="V340" s="3"/>
    </row>
    <row r="341" spans="22:22" x14ac:dyDescent="0.2">
      <c r="V341" s="3"/>
    </row>
    <row r="342" spans="22:22" x14ac:dyDescent="0.2">
      <c r="V342" s="3"/>
    </row>
    <row r="343" spans="22:22" x14ac:dyDescent="0.2">
      <c r="V343" s="3"/>
    </row>
    <row r="344" spans="22:22" x14ac:dyDescent="0.2">
      <c r="V344" s="3"/>
    </row>
    <row r="345" spans="22:22" x14ac:dyDescent="0.2">
      <c r="V345" s="3"/>
    </row>
    <row r="346" spans="22:22" x14ac:dyDescent="0.2">
      <c r="V346" s="3"/>
    </row>
    <row r="347" spans="22:22" x14ac:dyDescent="0.2">
      <c r="V347" s="3"/>
    </row>
    <row r="348" spans="22:22" x14ac:dyDescent="0.2">
      <c r="V348" s="3"/>
    </row>
    <row r="349" spans="22:22" x14ac:dyDescent="0.2">
      <c r="V349" s="3"/>
    </row>
    <row r="350" spans="22:22" x14ac:dyDescent="0.2">
      <c r="V350" s="3"/>
    </row>
    <row r="351" spans="22:22" x14ac:dyDescent="0.2">
      <c r="V351" s="3"/>
    </row>
    <row r="352" spans="22:22" x14ac:dyDescent="0.2">
      <c r="V352" s="3"/>
    </row>
    <row r="353" spans="22:22" x14ac:dyDescent="0.2">
      <c r="V353" s="3"/>
    </row>
    <row r="354" spans="22:22" x14ac:dyDescent="0.2">
      <c r="V354" s="3"/>
    </row>
    <row r="355" spans="22:22" x14ac:dyDescent="0.2">
      <c r="V355" s="3"/>
    </row>
    <row r="356" spans="22:22" x14ac:dyDescent="0.2">
      <c r="V356" s="3"/>
    </row>
    <row r="357" spans="22:22" x14ac:dyDescent="0.2">
      <c r="V357" s="3"/>
    </row>
    <row r="358" spans="22:22" x14ac:dyDescent="0.2">
      <c r="V358" s="3"/>
    </row>
    <row r="359" spans="22:22" x14ac:dyDescent="0.2">
      <c r="V359" s="3"/>
    </row>
    <row r="360" spans="22:22" x14ac:dyDescent="0.2">
      <c r="V360" s="3"/>
    </row>
    <row r="361" spans="22:22" x14ac:dyDescent="0.2">
      <c r="V361" s="3"/>
    </row>
    <row r="362" spans="22:22" x14ac:dyDescent="0.2">
      <c r="V362" s="3"/>
    </row>
    <row r="363" spans="22:22" x14ac:dyDescent="0.2">
      <c r="V363" s="3"/>
    </row>
    <row r="364" spans="22:22" x14ac:dyDescent="0.2">
      <c r="V364" s="3"/>
    </row>
    <row r="365" spans="22:22" x14ac:dyDescent="0.2">
      <c r="V365" s="3"/>
    </row>
    <row r="366" spans="22:22" x14ac:dyDescent="0.2">
      <c r="V366" s="3"/>
    </row>
    <row r="367" spans="22:22" x14ac:dyDescent="0.2">
      <c r="V367" s="3"/>
    </row>
    <row r="368" spans="22:22" x14ac:dyDescent="0.2">
      <c r="V368" s="3"/>
    </row>
    <row r="369" spans="22:22" x14ac:dyDescent="0.2">
      <c r="V369" s="3"/>
    </row>
    <row r="370" spans="22:22" x14ac:dyDescent="0.2">
      <c r="V370" s="3"/>
    </row>
    <row r="371" spans="22:22" x14ac:dyDescent="0.2">
      <c r="V371" s="3"/>
    </row>
    <row r="372" spans="22:22" x14ac:dyDescent="0.2">
      <c r="V372" s="3"/>
    </row>
    <row r="373" spans="22:22" x14ac:dyDescent="0.2">
      <c r="V373" s="3"/>
    </row>
    <row r="374" spans="22:22" x14ac:dyDescent="0.2">
      <c r="V374" s="3"/>
    </row>
    <row r="375" spans="22:22" x14ac:dyDescent="0.2">
      <c r="V375" s="3"/>
    </row>
    <row r="376" spans="22:22" x14ac:dyDescent="0.2">
      <c r="V376" s="3"/>
    </row>
    <row r="377" spans="22:22" x14ac:dyDescent="0.2">
      <c r="V377" s="3"/>
    </row>
    <row r="378" spans="22:22" x14ac:dyDescent="0.2">
      <c r="V378" s="3"/>
    </row>
    <row r="379" spans="22:22" x14ac:dyDescent="0.2">
      <c r="V379" s="3"/>
    </row>
    <row r="380" spans="22:22" x14ac:dyDescent="0.2">
      <c r="V380" s="3"/>
    </row>
    <row r="381" spans="22:22" x14ac:dyDescent="0.2">
      <c r="V381" s="3"/>
    </row>
    <row r="382" spans="22:22" x14ac:dyDescent="0.2">
      <c r="V382" s="3"/>
    </row>
    <row r="383" spans="22:22" x14ac:dyDescent="0.2">
      <c r="V383" s="3"/>
    </row>
    <row r="384" spans="22:22" x14ac:dyDescent="0.2">
      <c r="V384" s="3"/>
    </row>
    <row r="385" spans="22:22" x14ac:dyDescent="0.2">
      <c r="V385" s="3"/>
    </row>
    <row r="386" spans="22:22" x14ac:dyDescent="0.2">
      <c r="V386" s="3"/>
    </row>
    <row r="387" spans="22:22" x14ac:dyDescent="0.2">
      <c r="V387" s="3"/>
    </row>
    <row r="388" spans="22:22" x14ac:dyDescent="0.2">
      <c r="V388" s="3"/>
    </row>
    <row r="389" spans="22:22" x14ac:dyDescent="0.2">
      <c r="V389" s="3"/>
    </row>
    <row r="390" spans="22:22" x14ac:dyDescent="0.2">
      <c r="V390" s="3"/>
    </row>
    <row r="391" spans="22:22" x14ac:dyDescent="0.2">
      <c r="V391" s="3"/>
    </row>
    <row r="392" spans="22:22" x14ac:dyDescent="0.2">
      <c r="V392" s="3"/>
    </row>
    <row r="393" spans="22:22" x14ac:dyDescent="0.2">
      <c r="V393" s="3"/>
    </row>
    <row r="394" spans="22:22" x14ac:dyDescent="0.2">
      <c r="V394" s="3"/>
    </row>
    <row r="395" spans="22:22" x14ac:dyDescent="0.2">
      <c r="V395" s="3"/>
    </row>
    <row r="396" spans="22:22" x14ac:dyDescent="0.2">
      <c r="V396" s="3"/>
    </row>
    <row r="397" spans="22:22" x14ac:dyDescent="0.2">
      <c r="V397" s="3"/>
    </row>
    <row r="398" spans="22:22" x14ac:dyDescent="0.2">
      <c r="V398" s="3"/>
    </row>
    <row r="399" spans="22:22" x14ac:dyDescent="0.2">
      <c r="V399" s="3"/>
    </row>
    <row r="400" spans="22:22" x14ac:dyDescent="0.2">
      <c r="V400" s="3"/>
    </row>
    <row r="401" spans="22:22" x14ac:dyDescent="0.2">
      <c r="V401" s="3"/>
    </row>
    <row r="402" spans="22:22" x14ac:dyDescent="0.2">
      <c r="V402" s="3"/>
    </row>
    <row r="403" spans="22:22" x14ac:dyDescent="0.2">
      <c r="V403" s="3"/>
    </row>
    <row r="404" spans="22:22" x14ac:dyDescent="0.2">
      <c r="V404" s="3"/>
    </row>
    <row r="405" spans="22:22" x14ac:dyDescent="0.2">
      <c r="V405" s="3"/>
    </row>
    <row r="406" spans="22:22" x14ac:dyDescent="0.2">
      <c r="V406" s="3"/>
    </row>
    <row r="407" spans="22:22" x14ac:dyDescent="0.2">
      <c r="V407" s="3"/>
    </row>
    <row r="408" spans="22:22" x14ac:dyDescent="0.2">
      <c r="V408" s="3"/>
    </row>
    <row r="409" spans="22:22" x14ac:dyDescent="0.2">
      <c r="V409" s="3"/>
    </row>
    <row r="410" spans="22:22" x14ac:dyDescent="0.2">
      <c r="V410" s="3"/>
    </row>
    <row r="411" spans="22:22" x14ac:dyDescent="0.2">
      <c r="V411" s="3"/>
    </row>
    <row r="412" spans="22:22" x14ac:dyDescent="0.2">
      <c r="V412" s="3"/>
    </row>
    <row r="413" spans="22:22" x14ac:dyDescent="0.2">
      <c r="V413" s="3"/>
    </row>
    <row r="414" spans="22:22" x14ac:dyDescent="0.2">
      <c r="V414" s="3"/>
    </row>
    <row r="415" spans="22:22" x14ac:dyDescent="0.2">
      <c r="V415" s="3"/>
    </row>
    <row r="416" spans="22:22" x14ac:dyDescent="0.2">
      <c r="V416" s="3"/>
    </row>
    <row r="417" spans="22:22" x14ac:dyDescent="0.2">
      <c r="V417" s="3"/>
    </row>
    <row r="418" spans="22:22" x14ac:dyDescent="0.2">
      <c r="V418" s="3"/>
    </row>
    <row r="419" spans="22:22" x14ac:dyDescent="0.2">
      <c r="V419" s="3"/>
    </row>
    <row r="420" spans="22:22" x14ac:dyDescent="0.2">
      <c r="V420" s="3"/>
    </row>
    <row r="421" spans="22:22" x14ac:dyDescent="0.2">
      <c r="V421" s="3"/>
    </row>
    <row r="422" spans="22:22" x14ac:dyDescent="0.2">
      <c r="V422" s="3"/>
    </row>
    <row r="423" spans="22:22" x14ac:dyDescent="0.2">
      <c r="V423" s="3"/>
    </row>
    <row r="424" spans="22:22" x14ac:dyDescent="0.2">
      <c r="V424" s="3"/>
    </row>
    <row r="425" spans="22:22" x14ac:dyDescent="0.2">
      <c r="V425" s="3"/>
    </row>
    <row r="426" spans="22:22" x14ac:dyDescent="0.2">
      <c r="V426" s="3"/>
    </row>
    <row r="427" spans="22:22" x14ac:dyDescent="0.2">
      <c r="V427" s="3"/>
    </row>
    <row r="428" spans="22:22" x14ac:dyDescent="0.2">
      <c r="V428" s="3"/>
    </row>
    <row r="429" spans="22:22" x14ac:dyDescent="0.2">
      <c r="V429" s="3"/>
    </row>
  </sheetData>
  <mergeCells count="141">
    <mergeCell ref="A77:D77"/>
    <mergeCell ref="A78:F80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A63:A64"/>
    <mergeCell ref="B63:B64"/>
    <mergeCell ref="C63:C64"/>
    <mergeCell ref="D63:D64"/>
    <mergeCell ref="X63:AI64"/>
    <mergeCell ref="A66:A67"/>
    <mergeCell ref="B66:B67"/>
    <mergeCell ref="C66:C67"/>
    <mergeCell ref="D66:D67"/>
    <mergeCell ref="G66:G67"/>
    <mergeCell ref="T66:T67"/>
    <mergeCell ref="A45:A46"/>
    <mergeCell ref="B45:B46"/>
    <mergeCell ref="C45:C46"/>
    <mergeCell ref="D45:D46"/>
    <mergeCell ref="A47:A48"/>
    <mergeCell ref="B47:B48"/>
    <mergeCell ref="C47:C48"/>
    <mergeCell ref="D47:D48"/>
    <mergeCell ref="O39:O40"/>
    <mergeCell ref="A39:A40"/>
    <mergeCell ref="B39:B40"/>
    <mergeCell ref="C39:C40"/>
    <mergeCell ref="D39:D40"/>
    <mergeCell ref="G39:G40"/>
    <mergeCell ref="H39:H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R36:R37"/>
    <mergeCell ref="S36:S37"/>
    <mergeCell ref="T36:T37"/>
    <mergeCell ref="I36:I37"/>
    <mergeCell ref="J36:J37"/>
    <mergeCell ref="K36:K37"/>
    <mergeCell ref="L36:L37"/>
    <mergeCell ref="M36:M37"/>
    <mergeCell ref="N36:N37"/>
    <mergeCell ref="A36:A37"/>
    <mergeCell ref="B36:B37"/>
    <mergeCell ref="C36:C37"/>
    <mergeCell ref="D36:D37"/>
    <mergeCell ref="G36:G37"/>
    <mergeCell ref="H36:H37"/>
    <mergeCell ref="O34:O35"/>
    <mergeCell ref="P34:P35"/>
    <mergeCell ref="Q34:Q35"/>
    <mergeCell ref="A34:A35"/>
    <mergeCell ref="B34:B35"/>
    <mergeCell ref="C34:C35"/>
    <mergeCell ref="D34:D35"/>
    <mergeCell ref="G34:G35"/>
    <mergeCell ref="H34:H35"/>
    <mergeCell ref="O36:O37"/>
    <mergeCell ref="P36:P37"/>
    <mergeCell ref="Q36:Q37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A21:D21"/>
    <mergeCell ref="A22:D22"/>
    <mergeCell ref="A29:A31"/>
    <mergeCell ref="B29:B31"/>
    <mergeCell ref="C29:C31"/>
    <mergeCell ref="D29:D31"/>
    <mergeCell ref="M18:M19"/>
    <mergeCell ref="N18:N19"/>
    <mergeCell ref="O18:O19"/>
    <mergeCell ref="G18:G19"/>
    <mergeCell ref="H18:H19"/>
    <mergeCell ref="I18:I19"/>
    <mergeCell ref="J18:J19"/>
    <mergeCell ref="K18:K19"/>
    <mergeCell ref="L18:L19"/>
    <mergeCell ref="C18:C19"/>
    <mergeCell ref="B18:B19"/>
    <mergeCell ref="A16:A17"/>
    <mergeCell ref="B16:B17"/>
    <mergeCell ref="C16:C17"/>
    <mergeCell ref="D16:D17"/>
    <mergeCell ref="J10:J11"/>
    <mergeCell ref="A18:A19"/>
    <mergeCell ref="D18:D19"/>
    <mergeCell ref="A13:D13"/>
    <mergeCell ref="X15:AG15"/>
    <mergeCell ref="F8:F11"/>
    <mergeCell ref="G8:G11"/>
    <mergeCell ref="H8:H11"/>
    <mergeCell ref="I8:N8"/>
    <mergeCell ref="O8:S8"/>
    <mergeCell ref="T8:T11"/>
    <mergeCell ref="I9:K9"/>
    <mergeCell ref="L9:M9"/>
    <mergeCell ref="N9:N11"/>
    <mergeCell ref="I10:I11"/>
    <mergeCell ref="S18:S19"/>
    <mergeCell ref="T18:T19"/>
    <mergeCell ref="P18:P19"/>
    <mergeCell ref="Q18:Q19"/>
    <mergeCell ref="R18:R19"/>
    <mergeCell ref="P1:T1"/>
    <mergeCell ref="P2:T2"/>
    <mergeCell ref="P3:T3"/>
    <mergeCell ref="A4:T4"/>
    <mergeCell ref="A5:T5"/>
    <mergeCell ref="A8:A11"/>
    <mergeCell ref="B8:B11"/>
    <mergeCell ref="C8:C11"/>
    <mergeCell ref="D8:D11"/>
    <mergeCell ref="E8:E11"/>
    <mergeCell ref="K10:K11"/>
    <mergeCell ref="L10:L11"/>
    <mergeCell ref="M10:M11"/>
  </mergeCells>
  <conditionalFormatting sqref="E21:S21 C66 B20:C20 F67 F66:K66 Q66:S66 L71:S71 G71:J71 F19 F68:S70 F18:K18 F14:G15 J14:S15 F20:S20 F22:S22 F34:H34 F35:F37 F38:S38 F39:F40 F24:S33 F41:S63 G77:S79 F65:S65 F64:T64">
    <cfRule type="cellIs" dxfId="79" priority="58" stopIfTrue="1" operator="equal">
      <formula>0</formula>
    </cfRule>
  </conditionalFormatting>
  <conditionalFormatting sqref="K71 F71">
    <cfRule type="cellIs" dxfId="78" priority="57" stopIfTrue="1" operator="equal">
      <formula>0</formula>
    </cfRule>
  </conditionalFormatting>
  <conditionalFormatting sqref="L66:N66">
    <cfRule type="cellIs" dxfId="77" priority="56" stopIfTrue="1" operator="equal">
      <formula>0</formula>
    </cfRule>
  </conditionalFormatting>
  <conditionalFormatting sqref="O66:P66">
    <cfRule type="cellIs" dxfId="76" priority="55" stopIfTrue="1" operator="equal">
      <formula>0</formula>
    </cfRule>
  </conditionalFormatting>
  <conditionalFormatting sqref="M18">
    <cfRule type="cellIs" dxfId="75" priority="53" stopIfTrue="1" operator="equal">
      <formula>0</formula>
    </cfRule>
  </conditionalFormatting>
  <conditionalFormatting sqref="L18">
    <cfRule type="cellIs" dxfId="74" priority="54" stopIfTrue="1" operator="equal">
      <formula>0</formula>
    </cfRule>
  </conditionalFormatting>
  <conditionalFormatting sqref="N18">
    <cfRule type="cellIs" dxfId="73" priority="52" stopIfTrue="1" operator="equal">
      <formula>0</formula>
    </cfRule>
  </conditionalFormatting>
  <conditionalFormatting sqref="O18">
    <cfRule type="cellIs" dxfId="72" priority="51" stopIfTrue="1" operator="equal">
      <formula>0</formula>
    </cfRule>
  </conditionalFormatting>
  <conditionalFormatting sqref="P18">
    <cfRule type="cellIs" dxfId="71" priority="50" stopIfTrue="1" operator="equal">
      <formula>0</formula>
    </cfRule>
  </conditionalFormatting>
  <conditionalFormatting sqref="Q18">
    <cfRule type="cellIs" dxfId="70" priority="49" stopIfTrue="1" operator="equal">
      <formula>0</formula>
    </cfRule>
  </conditionalFormatting>
  <conditionalFormatting sqref="R18">
    <cfRule type="cellIs" dxfId="69" priority="48" stopIfTrue="1" operator="equal">
      <formula>0</formula>
    </cfRule>
  </conditionalFormatting>
  <conditionalFormatting sqref="S18">
    <cfRule type="cellIs" dxfId="68" priority="47" stopIfTrue="1" operator="equal">
      <formula>0</formula>
    </cfRule>
  </conditionalFormatting>
  <conditionalFormatting sqref="L72:S72 G72:J72">
    <cfRule type="cellIs" dxfId="67" priority="46" stopIfTrue="1" operator="equal">
      <formula>0</formula>
    </cfRule>
  </conditionalFormatting>
  <conditionalFormatting sqref="K72 F72">
    <cfRule type="cellIs" dxfId="66" priority="45" stopIfTrue="1" operator="equal">
      <formula>0</formula>
    </cfRule>
  </conditionalFormatting>
  <conditionalFormatting sqref="L73:S73 G73:J73">
    <cfRule type="cellIs" dxfId="65" priority="44" stopIfTrue="1" operator="equal">
      <formula>0</formula>
    </cfRule>
  </conditionalFormatting>
  <conditionalFormatting sqref="K73 F73">
    <cfRule type="cellIs" dxfId="64" priority="43" stopIfTrue="1" operator="equal">
      <formula>0</formula>
    </cfRule>
  </conditionalFormatting>
  <conditionalFormatting sqref="H15">
    <cfRule type="cellIs" dxfId="63" priority="42" stopIfTrue="1" operator="equal">
      <formula>0</formula>
    </cfRule>
  </conditionalFormatting>
  <conditionalFormatting sqref="I34:K34 Q34:S34">
    <cfRule type="cellIs" dxfId="62" priority="41" stopIfTrue="1" operator="equal">
      <formula>0</formula>
    </cfRule>
  </conditionalFormatting>
  <conditionalFormatting sqref="L34:N34">
    <cfRule type="cellIs" dxfId="61" priority="40" stopIfTrue="1" operator="equal">
      <formula>0</formula>
    </cfRule>
  </conditionalFormatting>
  <conditionalFormatting sqref="O34:P34">
    <cfRule type="cellIs" dxfId="60" priority="39" stopIfTrue="1" operator="equal">
      <formula>0</formula>
    </cfRule>
  </conditionalFormatting>
  <conditionalFormatting sqref="H36">
    <cfRule type="cellIs" dxfId="59" priority="38" stopIfTrue="1" operator="equal">
      <formula>0</formula>
    </cfRule>
  </conditionalFormatting>
  <conditionalFormatting sqref="I36">
    <cfRule type="cellIs" dxfId="58" priority="37" stopIfTrue="1" operator="equal">
      <formula>0</formula>
    </cfRule>
  </conditionalFormatting>
  <conditionalFormatting sqref="J36:K36 Q36:S36">
    <cfRule type="cellIs" dxfId="57" priority="36" stopIfTrue="1" operator="equal">
      <formula>0</formula>
    </cfRule>
  </conditionalFormatting>
  <conditionalFormatting sqref="L36:N36">
    <cfRule type="cellIs" dxfId="56" priority="35" stopIfTrue="1" operator="equal">
      <formula>0</formula>
    </cfRule>
  </conditionalFormatting>
  <conditionalFormatting sqref="O36:P36">
    <cfRule type="cellIs" dxfId="55" priority="34" stopIfTrue="1" operator="equal">
      <formula>0</formula>
    </cfRule>
  </conditionalFormatting>
  <conditionalFormatting sqref="G36">
    <cfRule type="cellIs" dxfId="54" priority="33" stopIfTrue="1" operator="equal">
      <formula>0</formula>
    </cfRule>
  </conditionalFormatting>
  <conditionalFormatting sqref="G39">
    <cfRule type="cellIs" dxfId="53" priority="32" stopIfTrue="1" operator="equal">
      <formula>0</formula>
    </cfRule>
  </conditionalFormatting>
  <conditionalFormatting sqref="H39">
    <cfRule type="cellIs" dxfId="52" priority="31" stopIfTrue="1" operator="equal">
      <formula>0</formula>
    </cfRule>
  </conditionalFormatting>
  <conditionalFormatting sqref="I39">
    <cfRule type="cellIs" dxfId="51" priority="30" stopIfTrue="1" operator="equal">
      <formula>0</formula>
    </cfRule>
  </conditionalFormatting>
  <conditionalFormatting sqref="J39:K39 Q39:S39">
    <cfRule type="cellIs" dxfId="50" priority="29" stopIfTrue="1" operator="equal">
      <formula>0</formula>
    </cfRule>
  </conditionalFormatting>
  <conditionalFormatting sqref="L39:N39">
    <cfRule type="cellIs" dxfId="49" priority="28" stopIfTrue="1" operator="equal">
      <formula>0</formula>
    </cfRule>
  </conditionalFormatting>
  <conditionalFormatting sqref="O39:P39">
    <cfRule type="cellIs" dxfId="48" priority="27" stopIfTrue="1" operator="equal">
      <formula>0</formula>
    </cfRule>
  </conditionalFormatting>
  <conditionalFormatting sqref="H14">
    <cfRule type="cellIs" dxfId="47" priority="26" stopIfTrue="1" operator="equal">
      <formula>0</formula>
    </cfRule>
  </conditionalFormatting>
  <conditionalFormatting sqref="F23">
    <cfRule type="cellIs" dxfId="46" priority="25" stopIfTrue="1" operator="equal">
      <formula>0</formula>
    </cfRule>
  </conditionalFormatting>
  <conditionalFormatting sqref="G23:S23">
    <cfRule type="cellIs" dxfId="45" priority="24" stopIfTrue="1" operator="equal">
      <formula>0</formula>
    </cfRule>
  </conditionalFormatting>
  <conditionalFormatting sqref="F76">
    <cfRule type="cellIs" dxfId="44" priority="23" stopIfTrue="1" operator="equal">
      <formula>0</formula>
    </cfRule>
  </conditionalFormatting>
  <conditionalFormatting sqref="L74:S74 G74:J74">
    <cfRule type="cellIs" dxfId="43" priority="22" stopIfTrue="1" operator="equal">
      <formula>0</formula>
    </cfRule>
  </conditionalFormatting>
  <conditionalFormatting sqref="K74 F74">
    <cfRule type="cellIs" dxfId="42" priority="21" stopIfTrue="1" operator="equal">
      <formula>0</formula>
    </cfRule>
  </conditionalFormatting>
  <conditionalFormatting sqref="L76:S76 G76:J76">
    <cfRule type="cellIs" dxfId="41" priority="20" stopIfTrue="1" operator="equal">
      <formula>0</formula>
    </cfRule>
  </conditionalFormatting>
  <conditionalFormatting sqref="K76">
    <cfRule type="cellIs" dxfId="40" priority="19" stopIfTrue="1" operator="equal">
      <formula>0</formula>
    </cfRule>
  </conditionalFormatting>
  <conditionalFormatting sqref="T68:T71 T14:T15 T20:T22 T38 T77:T79 T24:T33 T41:T63 T65:T66">
    <cfRule type="cellIs" dxfId="39" priority="18" stopIfTrue="1" operator="equal">
      <formula>0</formula>
    </cfRule>
  </conditionalFormatting>
  <conditionalFormatting sqref="T18">
    <cfRule type="cellIs" dxfId="38" priority="17" stopIfTrue="1" operator="equal">
      <formula>0</formula>
    </cfRule>
  </conditionalFormatting>
  <conditionalFormatting sqref="T72">
    <cfRule type="cellIs" dxfId="37" priority="16" stopIfTrue="1" operator="equal">
      <formula>0</formula>
    </cfRule>
  </conditionalFormatting>
  <conditionalFormatting sqref="T73">
    <cfRule type="cellIs" dxfId="36" priority="15" stopIfTrue="1" operator="equal">
      <formula>0</formula>
    </cfRule>
  </conditionalFormatting>
  <conditionalFormatting sqref="T34">
    <cfRule type="cellIs" dxfId="35" priority="14" stopIfTrue="1" operator="equal">
      <formula>0</formula>
    </cfRule>
  </conditionalFormatting>
  <conditionalFormatting sqref="T36">
    <cfRule type="cellIs" dxfId="34" priority="13" stopIfTrue="1" operator="equal">
      <formula>0</formula>
    </cfRule>
  </conditionalFormatting>
  <conditionalFormatting sqref="T39">
    <cfRule type="cellIs" dxfId="33" priority="12" stopIfTrue="1" operator="equal">
      <formula>0</formula>
    </cfRule>
  </conditionalFormatting>
  <conditionalFormatting sqref="T23">
    <cfRule type="cellIs" dxfId="32" priority="11" stopIfTrue="1" operator="equal">
      <formula>0</formula>
    </cfRule>
  </conditionalFormatting>
  <conditionalFormatting sqref="T74">
    <cfRule type="cellIs" dxfId="31" priority="10" stopIfTrue="1" operator="equal">
      <formula>0</formula>
    </cfRule>
  </conditionalFormatting>
  <conditionalFormatting sqref="T76">
    <cfRule type="cellIs" dxfId="30" priority="9" stopIfTrue="1" operator="equal">
      <formula>0</formula>
    </cfRule>
  </conditionalFormatting>
  <conditionalFormatting sqref="T17">
    <cfRule type="cellIs" dxfId="29" priority="6" stopIfTrue="1" operator="equal">
      <formula>0</formula>
    </cfRule>
  </conditionalFormatting>
  <conditionalFormatting sqref="F16:S17">
    <cfRule type="cellIs" dxfId="28" priority="8" stopIfTrue="1" operator="equal">
      <formula>0</formula>
    </cfRule>
  </conditionalFormatting>
  <conditionalFormatting sqref="T16">
    <cfRule type="cellIs" dxfId="27" priority="7" stopIfTrue="1" operator="equal">
      <formula>0</formula>
    </cfRule>
  </conditionalFormatting>
  <conditionalFormatting sqref="L75:S75 G75:J75">
    <cfRule type="cellIs" dxfId="26" priority="5" stopIfTrue="1" operator="equal">
      <formula>0</formula>
    </cfRule>
  </conditionalFormatting>
  <conditionalFormatting sqref="K75 F75">
    <cfRule type="cellIs" dxfId="25" priority="4" stopIfTrue="1" operator="equal">
      <formula>0</formula>
    </cfRule>
  </conditionalFormatting>
  <conditionalFormatting sqref="T75">
    <cfRule type="cellIs" dxfId="24" priority="3" stopIfTrue="1" operator="equal">
      <formula>0</formula>
    </cfRule>
  </conditionalFormatting>
  <printOptions horizontalCentered="1" verticalCentered="1"/>
  <pageMargins left="0" right="0" top="0.28000000000000003" bottom="0" header="0" footer="0"/>
  <pageSetup paperSize="9" scale="34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T73"/>
  <sheetViews>
    <sheetView zoomScale="80" zoomScaleNormal="80" workbookViewId="0">
      <selection activeCell="A24" sqref="A24"/>
    </sheetView>
  </sheetViews>
  <sheetFormatPr defaultRowHeight="12" x14ac:dyDescent="0.15"/>
  <cols>
    <col min="1" max="1" width="61.5" style="3" customWidth="1"/>
    <col min="2" max="19" width="9.75" style="3" customWidth="1"/>
    <col min="20" max="20" width="15.25" style="3" customWidth="1"/>
    <col min="21" max="16384" width="9" style="3"/>
  </cols>
  <sheetData>
    <row r="3" spans="1:20" ht="22.5" customHeight="1" x14ac:dyDescent="0.3">
      <c r="A3" s="420" t="s">
        <v>187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</row>
    <row r="4" spans="1:20" ht="22.5" customHeight="1" x14ac:dyDescent="0.3">
      <c r="A4" s="420" t="s">
        <v>188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</row>
    <row r="5" spans="1:20" ht="22.5" customHeight="1" x14ac:dyDescent="0.3">
      <c r="A5" s="147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9"/>
    </row>
    <row r="6" spans="1:20" ht="16.5" x14ac:dyDescent="0.25">
      <c r="A6" s="1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50" t="s">
        <v>189</v>
      </c>
    </row>
    <row r="7" spans="1:20" ht="17.25" thickBot="1" x14ac:dyDescent="0.3">
      <c r="A7" s="1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150"/>
    </row>
    <row r="8" spans="1:20" ht="15.75" customHeight="1" thickTop="1" thickBot="1" x14ac:dyDescent="0.2">
      <c r="A8" s="518" t="s">
        <v>8</v>
      </c>
      <c r="B8" s="521" t="s">
        <v>190</v>
      </c>
      <c r="C8" s="522"/>
      <c r="D8" s="522"/>
      <c r="E8" s="522"/>
      <c r="F8" s="522"/>
      <c r="G8" s="522"/>
      <c r="H8" s="522"/>
      <c r="I8" s="523"/>
      <c r="J8" s="521" t="s">
        <v>191</v>
      </c>
      <c r="K8" s="522"/>
      <c r="L8" s="522"/>
      <c r="M8" s="522"/>
      <c r="N8" s="522"/>
      <c r="O8" s="522"/>
      <c r="P8" s="522"/>
      <c r="Q8" s="522"/>
      <c r="R8" s="522"/>
      <c r="S8" s="523"/>
      <c r="T8" s="524" t="s">
        <v>192</v>
      </c>
    </row>
    <row r="9" spans="1:20" ht="15" thickBot="1" x14ac:dyDescent="0.2">
      <c r="A9" s="519"/>
      <c r="B9" s="527" t="s">
        <v>193</v>
      </c>
      <c r="C9" s="528"/>
      <c r="D9" s="516" t="s">
        <v>194</v>
      </c>
      <c r="E9" s="531"/>
      <c r="F9" s="531"/>
      <c r="G9" s="531"/>
      <c r="H9" s="531"/>
      <c r="I9" s="517"/>
      <c r="J9" s="516" t="s">
        <v>195</v>
      </c>
      <c r="K9" s="517"/>
      <c r="L9" s="516" t="s">
        <v>196</v>
      </c>
      <c r="M9" s="531"/>
      <c r="N9" s="531"/>
      <c r="O9" s="531"/>
      <c r="P9" s="531"/>
      <c r="Q9" s="531"/>
      <c r="R9" s="531"/>
      <c r="S9" s="517"/>
      <c r="T9" s="525"/>
    </row>
    <row r="10" spans="1:20" ht="15" thickBot="1" x14ac:dyDescent="0.2">
      <c r="A10" s="519"/>
      <c r="B10" s="529"/>
      <c r="C10" s="530"/>
      <c r="D10" s="516" t="s">
        <v>197</v>
      </c>
      <c r="E10" s="517"/>
      <c r="F10" s="516" t="s">
        <v>198</v>
      </c>
      <c r="G10" s="517"/>
      <c r="H10" s="151" t="s">
        <v>199</v>
      </c>
      <c r="I10" s="152"/>
      <c r="J10" s="153"/>
      <c r="K10" s="153"/>
      <c r="L10" s="516" t="s">
        <v>197</v>
      </c>
      <c r="M10" s="517"/>
      <c r="N10" s="516" t="s">
        <v>200</v>
      </c>
      <c r="O10" s="517"/>
      <c r="P10" s="516" t="s">
        <v>201</v>
      </c>
      <c r="Q10" s="517"/>
      <c r="R10" s="516" t="s">
        <v>202</v>
      </c>
      <c r="S10" s="517"/>
      <c r="T10" s="525"/>
    </row>
    <row r="11" spans="1:20" ht="15" thickBot="1" x14ac:dyDescent="0.2">
      <c r="A11" s="520"/>
      <c r="B11" s="154" t="s">
        <v>203</v>
      </c>
      <c r="C11" s="154" t="s">
        <v>204</v>
      </c>
      <c r="D11" s="154" t="s">
        <v>203</v>
      </c>
      <c r="E11" s="154" t="s">
        <v>204</v>
      </c>
      <c r="F11" s="154" t="s">
        <v>203</v>
      </c>
      <c r="G11" s="154" t="s">
        <v>204</v>
      </c>
      <c r="H11" s="154" t="s">
        <v>203</v>
      </c>
      <c r="I11" s="154" t="s">
        <v>204</v>
      </c>
      <c r="J11" s="155" t="s">
        <v>205</v>
      </c>
      <c r="K11" s="154" t="s">
        <v>206</v>
      </c>
      <c r="L11" s="156" t="s">
        <v>205</v>
      </c>
      <c r="M11" s="157" t="s">
        <v>204</v>
      </c>
      <c r="N11" s="156" t="s">
        <v>205</v>
      </c>
      <c r="O11" s="156" t="s">
        <v>206</v>
      </c>
      <c r="P11" s="156" t="s">
        <v>207</v>
      </c>
      <c r="Q11" s="156" t="s">
        <v>208</v>
      </c>
      <c r="R11" s="156" t="s">
        <v>207</v>
      </c>
      <c r="S11" s="156" t="s">
        <v>208</v>
      </c>
      <c r="T11" s="526"/>
    </row>
    <row r="12" spans="1:20" ht="17.25" thickBot="1" x14ac:dyDescent="0.3">
      <c r="A12" s="25">
        <v>3</v>
      </c>
      <c r="B12" s="158">
        <v>20</v>
      </c>
      <c r="C12" s="158">
        <v>21</v>
      </c>
      <c r="D12" s="158">
        <v>22</v>
      </c>
      <c r="E12" s="158">
        <v>23</v>
      </c>
      <c r="F12" s="158">
        <v>24</v>
      </c>
      <c r="G12" s="158">
        <v>25</v>
      </c>
      <c r="H12" s="158">
        <v>26</v>
      </c>
      <c r="I12" s="158">
        <v>27</v>
      </c>
      <c r="J12" s="158">
        <v>28</v>
      </c>
      <c r="K12" s="158">
        <v>29</v>
      </c>
      <c r="L12" s="158">
        <v>30</v>
      </c>
      <c r="M12" s="158">
        <v>31</v>
      </c>
      <c r="N12" s="158">
        <v>32</v>
      </c>
      <c r="O12" s="158">
        <v>33</v>
      </c>
      <c r="P12" s="158">
        <v>34</v>
      </c>
      <c r="Q12" s="158">
        <v>35</v>
      </c>
      <c r="R12" s="158">
        <v>36</v>
      </c>
      <c r="S12" s="158">
        <v>37</v>
      </c>
      <c r="T12" s="159">
        <v>38</v>
      </c>
    </row>
    <row r="13" spans="1:20" ht="19.5" customHeight="1" x14ac:dyDescent="0.25">
      <c r="A13" s="160" t="s">
        <v>30</v>
      </c>
      <c r="B13" s="161"/>
      <c r="C13" s="161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3"/>
    </row>
    <row r="14" spans="1:20" ht="19.5" customHeight="1" x14ac:dyDescent="0.25">
      <c r="A14" s="263" t="str">
        <f>Лист1Новосибирский!C14</f>
        <v>Новосибирск - Колывань -Томск (в границах НСО)</v>
      </c>
      <c r="B14" s="165">
        <f t="shared" ref="B14:C28" si="0">D14+F14</f>
        <v>9</v>
      </c>
      <c r="C14" s="166">
        <f t="shared" si="0"/>
        <v>183.47</v>
      </c>
      <c r="D14" s="167">
        <v>9</v>
      </c>
      <c r="E14" s="168">
        <f>18.8+18.8+22.7+18.8+18.8+19.5+18.5+18.8+28.77</f>
        <v>183.47</v>
      </c>
      <c r="F14" s="169">
        <v>0</v>
      </c>
      <c r="G14" s="168">
        <v>0</v>
      </c>
      <c r="H14" s="167"/>
      <c r="I14" s="167"/>
      <c r="J14" s="170">
        <f>L14+N14+P14+R14</f>
        <v>0</v>
      </c>
      <c r="K14" s="171">
        <f>M14+O14+Q14+S14</f>
        <v>0</v>
      </c>
      <c r="L14" s="167">
        <v>0</v>
      </c>
      <c r="M14" s="171">
        <v>0</v>
      </c>
      <c r="N14" s="167"/>
      <c r="O14" s="171">
        <v>0</v>
      </c>
      <c r="P14" s="171"/>
      <c r="Q14" s="171"/>
      <c r="R14" s="167">
        <v>0</v>
      </c>
      <c r="S14" s="171">
        <v>0</v>
      </c>
      <c r="T14" s="172" t="s">
        <v>209</v>
      </c>
    </row>
    <row r="15" spans="1:20" s="179" customFormat="1" ht="38.25" customHeight="1" x14ac:dyDescent="0.25">
      <c r="A15" s="264" t="str">
        <f>Лист1Новосибирский!C15</f>
        <v>Новосибирск -  Кочки - Павлодар на участке "14,150 км - 15,300 км"</v>
      </c>
      <c r="B15" s="165">
        <f t="shared" si="0"/>
        <v>0</v>
      </c>
      <c r="C15" s="166">
        <f t="shared" si="0"/>
        <v>0</v>
      </c>
      <c r="D15" s="167"/>
      <c r="E15" s="168"/>
      <c r="F15" s="173"/>
      <c r="G15" s="174"/>
      <c r="H15" s="175"/>
      <c r="I15" s="175"/>
      <c r="J15" s="176"/>
      <c r="K15" s="177"/>
      <c r="L15" s="175"/>
      <c r="M15" s="177"/>
      <c r="N15" s="175"/>
      <c r="O15" s="177"/>
      <c r="P15" s="177"/>
      <c r="Q15" s="177"/>
      <c r="R15" s="175"/>
      <c r="S15" s="177"/>
      <c r="T15" s="178" t="s">
        <v>210</v>
      </c>
    </row>
    <row r="16" spans="1:20" ht="19.5" customHeight="1" x14ac:dyDescent="0.25">
      <c r="A16" s="514" t="str">
        <f>Лист1Новосибирский!C16</f>
        <v>Новосибирск -  Кочки - Павлодар (в пред. РФ)</v>
      </c>
      <c r="B16" s="165">
        <f t="shared" si="0"/>
        <v>34</v>
      </c>
      <c r="C16" s="166">
        <f t="shared" si="0"/>
        <v>535.30999999999995</v>
      </c>
      <c r="D16" s="167">
        <f>36+2-5</f>
        <v>33</v>
      </c>
      <c r="E16" s="168">
        <f>526.5+19.16+17.9*2-15-10-11.6-15-12.5</f>
        <v>517.3599999999999</v>
      </c>
      <c r="F16" s="169">
        <v>1</v>
      </c>
      <c r="G16" s="168">
        <v>17.95</v>
      </c>
      <c r="H16" s="167"/>
      <c r="I16" s="167"/>
      <c r="J16" s="170">
        <f t="shared" ref="J16:K19" si="1">L16+N16+P16+R16</f>
        <v>4</v>
      </c>
      <c r="K16" s="171">
        <f t="shared" si="1"/>
        <v>167</v>
      </c>
      <c r="L16" s="167">
        <f>1+1+1</f>
        <v>3</v>
      </c>
      <c r="M16" s="171">
        <f>47+17+50</f>
        <v>114</v>
      </c>
      <c r="N16" s="167">
        <v>1</v>
      </c>
      <c r="O16" s="171">
        <v>53</v>
      </c>
      <c r="P16" s="171"/>
      <c r="Q16" s="171"/>
      <c r="R16" s="167">
        <v>0</v>
      </c>
      <c r="S16" s="171">
        <v>0</v>
      </c>
      <c r="T16" s="172" t="s">
        <v>209</v>
      </c>
    </row>
    <row r="17" spans="1:20" ht="19.5" customHeight="1" x14ac:dyDescent="0.25">
      <c r="A17" s="515"/>
      <c r="B17" s="165">
        <f t="shared" si="0"/>
        <v>6</v>
      </c>
      <c r="C17" s="166">
        <f t="shared" si="0"/>
        <v>210.43</v>
      </c>
      <c r="D17" s="181"/>
      <c r="E17" s="182"/>
      <c r="F17" s="169">
        <f>3+3</f>
        <v>6</v>
      </c>
      <c r="G17" s="168">
        <f>35.79*2+33.69+38.94+24.24+24.24+17.74</f>
        <v>210.43</v>
      </c>
      <c r="H17" s="167"/>
      <c r="I17" s="167"/>
      <c r="J17" s="170">
        <f t="shared" si="1"/>
        <v>2</v>
      </c>
      <c r="K17" s="171">
        <f t="shared" si="1"/>
        <v>129.58000000000001</v>
      </c>
      <c r="L17" s="167">
        <f>1+1</f>
        <v>2</v>
      </c>
      <c r="M17" s="171">
        <f>55.18+74.4</f>
        <v>129.58000000000001</v>
      </c>
      <c r="N17" s="167"/>
      <c r="O17" s="171"/>
      <c r="P17" s="171"/>
      <c r="Q17" s="171"/>
      <c r="R17" s="167"/>
      <c r="S17" s="171"/>
      <c r="T17" s="172" t="s">
        <v>210</v>
      </c>
    </row>
    <row r="18" spans="1:20" ht="38.25" customHeight="1" x14ac:dyDescent="0.25">
      <c r="A18" s="417" t="str">
        <f>Лист1Новосибирский!C18</f>
        <v>Новосибирск - Ленинск-Кузнецкий (в границах НСО) км 12+000-км 17+243, км 18+984-км 34+771</v>
      </c>
      <c r="B18" s="183">
        <f t="shared" si="0"/>
        <v>20</v>
      </c>
      <c r="C18" s="184">
        <f t="shared" si="0"/>
        <v>458.05999999999995</v>
      </c>
      <c r="D18" s="167">
        <f>14-1+1-1+1-1+1-1+1+3</f>
        <v>17</v>
      </c>
      <c r="E18" s="168">
        <f>25.5+15.3+10.4+28.5+20.4+20.3+24+11+53+24+22+22+15.8+25.2-15.8+22.71-20.3+21.07-24+24.6-11+27.13-22+17+35.06+29.99+29</f>
        <v>430.85999999999996</v>
      </c>
      <c r="F18" s="169">
        <v>3</v>
      </c>
      <c r="G18" s="168">
        <f>12+10+5.2</f>
        <v>27.2</v>
      </c>
      <c r="H18" s="167"/>
      <c r="I18" s="167"/>
      <c r="J18" s="170">
        <f t="shared" si="1"/>
        <v>4</v>
      </c>
      <c r="K18" s="185">
        <f t="shared" si="1"/>
        <v>400.67</v>
      </c>
      <c r="L18" s="167">
        <f>1+1+1</f>
        <v>3</v>
      </c>
      <c r="M18" s="171">
        <f>71.78+46.78+116.6</f>
        <v>235.16</v>
      </c>
      <c r="N18" s="167">
        <f>1+1-1</f>
        <v>1</v>
      </c>
      <c r="O18" s="171">
        <f>152.47+165.51-152.47</f>
        <v>165.51000000000002</v>
      </c>
      <c r="P18" s="171"/>
      <c r="Q18" s="171"/>
      <c r="R18" s="167">
        <v>0</v>
      </c>
      <c r="S18" s="171">
        <v>0</v>
      </c>
      <c r="T18" s="172" t="s">
        <v>209</v>
      </c>
    </row>
    <row r="19" spans="1:20" ht="19.5" customHeight="1" x14ac:dyDescent="0.25">
      <c r="A19" s="180" t="str">
        <f>Лист1Новосибирский!C20</f>
        <v>Новосибирск - аэропорт Толмачево</v>
      </c>
      <c r="B19" s="183">
        <f>D19+F19</f>
        <v>1</v>
      </c>
      <c r="C19" s="184">
        <f>E19+G19</f>
        <v>34.51</v>
      </c>
      <c r="D19" s="186"/>
      <c r="E19" s="187"/>
      <c r="F19" s="188">
        <v>1</v>
      </c>
      <c r="G19" s="187">
        <f>34.51</f>
        <v>34.51</v>
      </c>
      <c r="H19" s="186"/>
      <c r="I19" s="186"/>
      <c r="J19" s="189">
        <f t="shared" si="1"/>
        <v>0</v>
      </c>
      <c r="K19" s="185">
        <f t="shared" si="1"/>
        <v>0</v>
      </c>
      <c r="L19" s="186"/>
      <c r="M19" s="190"/>
      <c r="N19" s="186"/>
      <c r="O19" s="190"/>
      <c r="P19" s="190"/>
      <c r="Q19" s="190"/>
      <c r="R19" s="186"/>
      <c r="S19" s="190"/>
      <c r="T19" s="191" t="s">
        <v>210</v>
      </c>
    </row>
    <row r="20" spans="1:20" ht="19.5" customHeight="1" thickBot="1" x14ac:dyDescent="0.2">
      <c r="A20" s="192" t="s">
        <v>211</v>
      </c>
      <c r="B20" s="193">
        <f t="shared" ref="B20:S20" si="2">SUM(B14:B19)</f>
        <v>70</v>
      </c>
      <c r="C20" s="194">
        <f t="shared" si="2"/>
        <v>1421.78</v>
      </c>
      <c r="D20" s="195">
        <f t="shared" si="2"/>
        <v>59</v>
      </c>
      <c r="E20" s="196">
        <f t="shared" si="2"/>
        <v>1131.6899999999998</v>
      </c>
      <c r="F20" s="195">
        <f t="shared" si="2"/>
        <v>11</v>
      </c>
      <c r="G20" s="196">
        <f t="shared" si="2"/>
        <v>290.08999999999997</v>
      </c>
      <c r="H20" s="195">
        <f t="shared" si="2"/>
        <v>0</v>
      </c>
      <c r="I20" s="195">
        <f t="shared" si="2"/>
        <v>0</v>
      </c>
      <c r="J20" s="195">
        <f t="shared" si="2"/>
        <v>10</v>
      </c>
      <c r="K20" s="195">
        <f t="shared" si="2"/>
        <v>697.25</v>
      </c>
      <c r="L20" s="195">
        <f t="shared" si="2"/>
        <v>8</v>
      </c>
      <c r="M20" s="195">
        <f t="shared" si="2"/>
        <v>478.74</v>
      </c>
      <c r="N20" s="195">
        <f t="shared" si="2"/>
        <v>2</v>
      </c>
      <c r="O20" s="195">
        <f t="shared" si="2"/>
        <v>218.51000000000002</v>
      </c>
      <c r="P20" s="195">
        <f t="shared" si="2"/>
        <v>0</v>
      </c>
      <c r="Q20" s="195">
        <f t="shared" si="2"/>
        <v>0</v>
      </c>
      <c r="R20" s="193">
        <f t="shared" si="2"/>
        <v>0</v>
      </c>
      <c r="S20" s="193">
        <f t="shared" si="2"/>
        <v>0</v>
      </c>
      <c r="T20" s="197"/>
    </row>
    <row r="21" spans="1:20" ht="19.5" customHeight="1" x14ac:dyDescent="0.15">
      <c r="A21" s="160" t="s">
        <v>48</v>
      </c>
      <c r="B21" s="198"/>
      <c r="C21" s="199"/>
      <c r="D21" s="200"/>
      <c r="E21" s="201"/>
      <c r="F21" s="202"/>
      <c r="G21" s="203"/>
      <c r="H21" s="204"/>
      <c r="I21" s="204"/>
      <c r="J21" s="205"/>
      <c r="K21" s="206"/>
      <c r="L21" s="204"/>
      <c r="M21" s="207"/>
      <c r="N21" s="204"/>
      <c r="O21" s="204"/>
      <c r="P21" s="204"/>
      <c r="Q21" s="204"/>
      <c r="R21" s="204"/>
      <c r="S21" s="204"/>
      <c r="T21" s="208"/>
    </row>
    <row r="22" spans="1:20" ht="19.5" customHeight="1" x14ac:dyDescent="0.25">
      <c r="A22" s="222" t="str">
        <f>Лист1Новосибирский!C23</f>
        <v>Подъезд к с. Верх-Тула /21 км/</v>
      </c>
      <c r="B22" s="183">
        <f>D22+F22</f>
        <v>0</v>
      </c>
      <c r="C22" s="184">
        <f>E22+G22</f>
        <v>0</v>
      </c>
      <c r="D22" s="209"/>
      <c r="E22" s="210"/>
      <c r="F22" s="211"/>
      <c r="G22" s="212"/>
      <c r="H22" s="213"/>
      <c r="I22" s="213"/>
      <c r="J22" s="170">
        <f>L22+N22+P22+R22</f>
        <v>1</v>
      </c>
      <c r="K22" s="171">
        <f>M22+O22+Q22+S22</f>
        <v>29</v>
      </c>
      <c r="L22" s="213"/>
      <c r="M22" s="214"/>
      <c r="N22" s="213">
        <v>1</v>
      </c>
      <c r="O22" s="214">
        <v>29</v>
      </c>
      <c r="P22" s="213"/>
      <c r="Q22" s="213"/>
      <c r="R22" s="213"/>
      <c r="S22" s="213"/>
      <c r="T22" s="215" t="s">
        <v>210</v>
      </c>
    </row>
    <row r="23" spans="1:20" ht="19.5" customHeight="1" x14ac:dyDescent="0.25">
      <c r="A23" s="222" t="str">
        <f>Лист1Новосибирский!C24</f>
        <v>Новосибирск -  Садовый</v>
      </c>
      <c r="B23" s="165">
        <f t="shared" si="0"/>
        <v>1</v>
      </c>
      <c r="C23" s="166">
        <f t="shared" si="0"/>
        <v>12.15</v>
      </c>
      <c r="D23" s="216"/>
      <c r="E23" s="217"/>
      <c r="F23" s="218">
        <v>1</v>
      </c>
      <c r="G23" s="217">
        <v>12.15</v>
      </c>
      <c r="H23" s="216"/>
      <c r="I23" s="216"/>
      <c r="J23" s="170">
        <f t="shared" ref="J23:K46" si="3">L23+N23+P23+R23</f>
        <v>0</v>
      </c>
      <c r="K23" s="171">
        <f t="shared" si="3"/>
        <v>0</v>
      </c>
      <c r="L23" s="216">
        <v>0</v>
      </c>
      <c r="M23" s="219">
        <v>0</v>
      </c>
      <c r="N23" s="216">
        <v>0</v>
      </c>
      <c r="O23" s="219">
        <v>0</v>
      </c>
      <c r="P23" s="219"/>
      <c r="Q23" s="219"/>
      <c r="R23" s="216">
        <v>0</v>
      </c>
      <c r="S23" s="219">
        <v>0</v>
      </c>
      <c r="T23" s="220" t="s">
        <v>209</v>
      </c>
    </row>
    <row r="24" spans="1:20" ht="19.5" customHeight="1" x14ac:dyDescent="0.25">
      <c r="A24" s="222" t="str">
        <f>Лист1Новосибирский!C25</f>
        <v xml:space="preserve">1445 км а/д "М-51" -  Красноглинное </v>
      </c>
      <c r="B24" s="165">
        <f t="shared" si="0"/>
        <v>1</v>
      </c>
      <c r="C24" s="166">
        <f t="shared" si="0"/>
        <v>15.3</v>
      </c>
      <c r="D24" s="167">
        <v>1</v>
      </c>
      <c r="E24" s="168">
        <v>15.3</v>
      </c>
      <c r="F24" s="169">
        <v>0</v>
      </c>
      <c r="G24" s="168">
        <v>0</v>
      </c>
      <c r="H24" s="167"/>
      <c r="I24" s="167"/>
      <c r="J24" s="170">
        <f t="shared" si="3"/>
        <v>0</v>
      </c>
      <c r="K24" s="171">
        <f t="shared" si="3"/>
        <v>0</v>
      </c>
      <c r="L24" s="167">
        <v>0</v>
      </c>
      <c r="M24" s="171">
        <v>0</v>
      </c>
      <c r="N24" s="167">
        <v>0</v>
      </c>
      <c r="O24" s="171">
        <v>0</v>
      </c>
      <c r="P24" s="171"/>
      <c r="Q24" s="171"/>
      <c r="R24" s="167">
        <v>0</v>
      </c>
      <c r="S24" s="171">
        <v>0</v>
      </c>
      <c r="T24" s="172" t="s">
        <v>209</v>
      </c>
    </row>
    <row r="25" spans="1:20" ht="19.5" customHeight="1" x14ac:dyDescent="0.25">
      <c r="A25" s="222" t="str">
        <f>Лист1Новосибирский!C26</f>
        <v>2 км а/д "Н-2105" - Кубовая</v>
      </c>
      <c r="B25" s="165">
        <f t="shared" si="0"/>
        <v>3</v>
      </c>
      <c r="C25" s="166">
        <f t="shared" si="0"/>
        <v>45.900000000000006</v>
      </c>
      <c r="D25" s="167">
        <v>3</v>
      </c>
      <c r="E25" s="168">
        <f>15.3+15.3+15.3</f>
        <v>45.900000000000006</v>
      </c>
      <c r="F25" s="169">
        <v>0</v>
      </c>
      <c r="G25" s="168">
        <v>0</v>
      </c>
      <c r="H25" s="167"/>
      <c r="I25" s="167"/>
      <c r="J25" s="170">
        <f t="shared" si="3"/>
        <v>1</v>
      </c>
      <c r="K25" s="171">
        <f t="shared" si="3"/>
        <v>36.5</v>
      </c>
      <c r="L25" s="167">
        <v>0</v>
      </c>
      <c r="M25" s="171">
        <v>0</v>
      </c>
      <c r="N25" s="167"/>
      <c r="O25" s="171"/>
      <c r="P25" s="170">
        <v>1</v>
      </c>
      <c r="Q25" s="171">
        <v>36.5</v>
      </c>
      <c r="R25" s="167">
        <f>1-1</f>
        <v>0</v>
      </c>
      <c r="S25" s="171">
        <f>25.6-25.6</f>
        <v>0</v>
      </c>
      <c r="T25" s="172" t="s">
        <v>209</v>
      </c>
    </row>
    <row r="26" spans="1:20" ht="19.5" customHeight="1" x14ac:dyDescent="0.25">
      <c r="A26" s="222" t="str">
        <f>Лист1Новосибирский!C27</f>
        <v xml:space="preserve">1445 км а/д "М-51" - Алексеевка </v>
      </c>
      <c r="B26" s="165">
        <f t="shared" si="0"/>
        <v>19</v>
      </c>
      <c r="C26" s="166">
        <f t="shared" si="0"/>
        <v>349.90000000000003</v>
      </c>
      <c r="D26" s="167">
        <v>19</v>
      </c>
      <c r="E26" s="221">
        <f>10.2+15.3*3+15.5+15.3+15.3+15.5+14.5+15.3+10.2+13*2+15.3+15.5+15.4*2+15.3*2+15.5+15.3+16.4+11.5+15.3</f>
        <v>349.90000000000003</v>
      </c>
      <c r="F26" s="169"/>
      <c r="G26" s="168">
        <v>0</v>
      </c>
      <c r="H26" s="167"/>
      <c r="I26" s="167"/>
      <c r="J26" s="170">
        <f t="shared" si="3"/>
        <v>0</v>
      </c>
      <c r="K26" s="171">
        <f t="shared" si="3"/>
        <v>0</v>
      </c>
      <c r="L26" s="167">
        <v>0</v>
      </c>
      <c r="M26" s="171">
        <v>0</v>
      </c>
      <c r="N26" s="167">
        <v>0</v>
      </c>
      <c r="O26" s="171">
        <v>0</v>
      </c>
      <c r="P26" s="171"/>
      <c r="Q26" s="171"/>
      <c r="R26" s="167">
        <v>0</v>
      </c>
      <c r="S26" s="171">
        <v>0</v>
      </c>
      <c r="T26" s="172" t="s">
        <v>209</v>
      </c>
    </row>
    <row r="27" spans="1:20" ht="19.5" customHeight="1" x14ac:dyDescent="0.25">
      <c r="A27" s="222" t="str">
        <f>Лист1Новосибирский!C28</f>
        <v>Сосновка -  Степной</v>
      </c>
      <c r="B27" s="165">
        <f t="shared" si="0"/>
        <v>7</v>
      </c>
      <c r="C27" s="166">
        <f t="shared" si="0"/>
        <v>172.9</v>
      </c>
      <c r="D27" s="167">
        <v>7</v>
      </c>
      <c r="E27" s="168">
        <f>15.8+15.8+15.3+20.4+15.3+15.3+25*3</f>
        <v>172.9</v>
      </c>
      <c r="F27" s="169">
        <v>0</v>
      </c>
      <c r="G27" s="168">
        <v>0</v>
      </c>
      <c r="H27" s="167"/>
      <c r="I27" s="167"/>
      <c r="J27" s="170">
        <f t="shared" si="3"/>
        <v>0</v>
      </c>
      <c r="K27" s="171">
        <f t="shared" si="3"/>
        <v>0</v>
      </c>
      <c r="L27" s="167">
        <v>0</v>
      </c>
      <c r="M27" s="171">
        <v>0</v>
      </c>
      <c r="N27" s="167">
        <v>0</v>
      </c>
      <c r="O27" s="171">
        <v>0</v>
      </c>
      <c r="P27" s="171"/>
      <c r="Q27" s="171"/>
      <c r="R27" s="167">
        <v>0</v>
      </c>
      <c r="S27" s="171">
        <v>0</v>
      </c>
      <c r="T27" s="172" t="s">
        <v>212</v>
      </c>
    </row>
    <row r="28" spans="1:20" ht="19.5" customHeight="1" x14ac:dyDescent="0.25">
      <c r="A28" s="222" t="str">
        <f>Лист1Новосибирский!C29</f>
        <v>Инская - Барышево - 39 км а/д "К-19р" (в гр. района)</v>
      </c>
      <c r="B28" s="165">
        <f t="shared" si="0"/>
        <v>39</v>
      </c>
      <c r="C28" s="166">
        <f t="shared" si="0"/>
        <v>720.86000000000058</v>
      </c>
      <c r="D28" s="167">
        <f>27+1+1-1+1-1+1+3-1+1+1-1+1-4+2-1+1</f>
        <v>31</v>
      </c>
      <c r="E28" s="168">
        <f>15+14.2*3+15.5+15.3+15.3+10.3+15.3+18.8+10.2+27*2+15+15.3+12+13+13.5+15.3+20.3+15.3+15.3+20.3*3+14+15.3+15.3+15.3+15.3+15.2+15.5+23.44+15.13-15.3+13.62-20.3*3+25.1*2+13.62+15.13+12.11-14+15.44+13.62-15.3+13.62+7*2-15.3-15.3-15.3-15.2+21.13+27.22-15.5+27.78</f>
        <v>608.06000000000051</v>
      </c>
      <c r="F28" s="169">
        <f>4+1+3</f>
        <v>8</v>
      </c>
      <c r="G28" s="168">
        <f>13.1+13.1+13.1+15.3+11+14.4+14.4+18.4</f>
        <v>112.80000000000001</v>
      </c>
      <c r="H28" s="167"/>
      <c r="I28" s="167"/>
      <c r="J28" s="170">
        <f t="shared" si="3"/>
        <v>0</v>
      </c>
      <c r="K28" s="171">
        <f t="shared" si="3"/>
        <v>0</v>
      </c>
      <c r="L28" s="167">
        <v>0</v>
      </c>
      <c r="M28" s="171">
        <v>0</v>
      </c>
      <c r="N28" s="167">
        <v>0</v>
      </c>
      <c r="O28" s="171">
        <v>0</v>
      </c>
      <c r="P28" s="171"/>
      <c r="Q28" s="171"/>
      <c r="R28" s="167">
        <v>0</v>
      </c>
      <c r="S28" s="171">
        <v>0</v>
      </c>
      <c r="T28" s="172" t="s">
        <v>213</v>
      </c>
    </row>
    <row r="29" spans="1:20" ht="19.5" customHeight="1" x14ac:dyDescent="0.25">
      <c r="A29" s="222" t="str">
        <f>Лист1Новосибирский!C32</f>
        <v>Подьезд к Госплемптицесовхозу /3 км/</v>
      </c>
      <c r="B29" s="165"/>
      <c r="C29" s="166"/>
      <c r="D29" s="167"/>
      <c r="E29" s="168"/>
      <c r="F29" s="169"/>
      <c r="G29" s="168"/>
      <c r="H29" s="167"/>
      <c r="I29" s="167"/>
      <c r="J29" s="170">
        <f t="shared" si="3"/>
        <v>0</v>
      </c>
      <c r="K29" s="171">
        <f t="shared" si="3"/>
        <v>0</v>
      </c>
      <c r="L29" s="167"/>
      <c r="M29" s="171"/>
      <c r="N29" s="167"/>
      <c r="O29" s="171"/>
      <c r="P29" s="171"/>
      <c r="Q29" s="171"/>
      <c r="R29" s="167"/>
      <c r="S29" s="171"/>
      <c r="T29" s="172" t="s">
        <v>210</v>
      </c>
    </row>
    <row r="30" spans="1:20" ht="19.5" customHeight="1" x14ac:dyDescent="0.25">
      <c r="A30" s="222" t="str">
        <f>Лист1Новосибирский!C33</f>
        <v>Подьезд к Госплемптицесовхозу /2 км/</v>
      </c>
      <c r="B30" s="165">
        <f>D30+F30</f>
        <v>1</v>
      </c>
      <c r="C30" s="166">
        <f>E30+G30</f>
        <v>12</v>
      </c>
      <c r="D30" s="167">
        <v>1</v>
      </c>
      <c r="E30" s="168">
        <v>12</v>
      </c>
      <c r="F30" s="169"/>
      <c r="G30" s="168"/>
      <c r="H30" s="167"/>
      <c r="I30" s="167"/>
      <c r="J30" s="170"/>
      <c r="K30" s="171"/>
      <c r="L30" s="167"/>
      <c r="M30" s="171"/>
      <c r="N30" s="167"/>
      <c r="O30" s="171"/>
      <c r="P30" s="171"/>
      <c r="Q30" s="171"/>
      <c r="R30" s="167"/>
      <c r="S30" s="171"/>
      <c r="T30" s="172" t="s">
        <v>210</v>
      </c>
    </row>
    <row r="31" spans="1:20" ht="19.5" customHeight="1" x14ac:dyDescent="0.25">
      <c r="A31" s="222" t="str">
        <f>Лист1Новосибирский!C34</f>
        <v>Подъезд к с.Березовка /18 км/</v>
      </c>
      <c r="B31" s="165">
        <f>D31+F31</f>
        <v>6</v>
      </c>
      <c r="C31" s="166">
        <f>E31+G31</f>
        <v>104.39999999999999</v>
      </c>
      <c r="D31" s="167">
        <v>6</v>
      </c>
      <c r="E31" s="168">
        <f>13.1+15.3+15.2+15.5+15.3+15*2</f>
        <v>104.39999999999999</v>
      </c>
      <c r="F31" s="169"/>
      <c r="G31" s="168"/>
      <c r="H31" s="167"/>
      <c r="I31" s="167"/>
      <c r="J31" s="170">
        <f t="shared" si="3"/>
        <v>0</v>
      </c>
      <c r="K31" s="171">
        <f t="shared" si="3"/>
        <v>0</v>
      </c>
      <c r="L31" s="167"/>
      <c r="M31" s="171"/>
      <c r="N31" s="167"/>
      <c r="O31" s="171"/>
      <c r="P31" s="171"/>
      <c r="Q31" s="171"/>
      <c r="R31" s="167"/>
      <c r="S31" s="171"/>
      <c r="T31" s="172">
        <v>2</v>
      </c>
    </row>
    <row r="32" spans="1:20" ht="19.5" customHeight="1" x14ac:dyDescent="0.25">
      <c r="A32" s="222" t="str">
        <f>Лист1Новосибирский!C36</f>
        <v>13 км а/д "Н-2107" - Железнодорожный</v>
      </c>
      <c r="B32" s="165">
        <f t="shared" ref="B32:C65" si="4">D32+F32</f>
        <v>4</v>
      </c>
      <c r="C32" s="166">
        <f t="shared" si="4"/>
        <v>71.900000000000006</v>
      </c>
      <c r="D32" s="167">
        <v>4</v>
      </c>
      <c r="E32" s="168">
        <f>17.3+18+16+10.3*2</f>
        <v>71.900000000000006</v>
      </c>
      <c r="F32" s="169">
        <v>0</v>
      </c>
      <c r="G32" s="168">
        <v>0</v>
      </c>
      <c r="H32" s="167"/>
      <c r="I32" s="167"/>
      <c r="J32" s="170">
        <f t="shared" si="3"/>
        <v>0</v>
      </c>
      <c r="K32" s="171">
        <f t="shared" si="3"/>
        <v>0</v>
      </c>
      <c r="L32" s="167">
        <v>0</v>
      </c>
      <c r="M32" s="171">
        <v>0</v>
      </c>
      <c r="N32" s="167">
        <v>0</v>
      </c>
      <c r="O32" s="171">
        <v>0</v>
      </c>
      <c r="P32" s="171"/>
      <c r="Q32" s="171"/>
      <c r="R32" s="167">
        <v>0</v>
      </c>
      <c r="S32" s="171">
        <v>0</v>
      </c>
      <c r="T32" s="172" t="s">
        <v>212</v>
      </c>
    </row>
    <row r="33" spans="1:20" ht="19.5" customHeight="1" x14ac:dyDescent="0.25">
      <c r="A33" s="222" t="str">
        <f>Лист1Новосибирский!C38</f>
        <v>14 км а/д "Н-2107" - Быково</v>
      </c>
      <c r="B33" s="165">
        <f t="shared" si="4"/>
        <v>5</v>
      </c>
      <c r="C33" s="166">
        <f t="shared" si="4"/>
        <v>71.150000000000006</v>
      </c>
      <c r="D33" s="167">
        <f>5-1</f>
        <v>4</v>
      </c>
      <c r="E33" s="168">
        <f>15.35+12.3+15.3+15.3+10.2-10.2</f>
        <v>58.25</v>
      </c>
      <c r="F33" s="169">
        <f>1</f>
        <v>1</v>
      </c>
      <c r="G33" s="168">
        <f>12.9</f>
        <v>12.9</v>
      </c>
      <c r="H33" s="167"/>
      <c r="I33" s="167"/>
      <c r="J33" s="170">
        <f t="shared" si="3"/>
        <v>0</v>
      </c>
      <c r="K33" s="171">
        <f t="shared" si="3"/>
        <v>0</v>
      </c>
      <c r="L33" s="167">
        <v>0</v>
      </c>
      <c r="M33" s="171">
        <v>0</v>
      </c>
      <c r="N33" s="167">
        <v>0</v>
      </c>
      <c r="O33" s="171">
        <v>0</v>
      </c>
      <c r="P33" s="171"/>
      <c r="Q33" s="171"/>
      <c r="R33" s="167">
        <v>0</v>
      </c>
      <c r="S33" s="171">
        <v>0</v>
      </c>
      <c r="T33" s="172" t="s">
        <v>209</v>
      </c>
    </row>
    <row r="34" spans="1:20" ht="19.5" customHeight="1" x14ac:dyDescent="0.25">
      <c r="A34" s="222" t="str">
        <f>Лист1Новосибирский!C39</f>
        <v>6 км а/д "Н-2107" - Мичуринский</v>
      </c>
      <c r="B34" s="165">
        <f t="shared" si="4"/>
        <v>0</v>
      </c>
      <c r="C34" s="166">
        <f t="shared" si="4"/>
        <v>0</v>
      </c>
      <c r="D34" s="167">
        <v>0</v>
      </c>
      <c r="E34" s="168">
        <v>0</v>
      </c>
      <c r="F34" s="169">
        <v>0</v>
      </c>
      <c r="G34" s="168">
        <v>0</v>
      </c>
      <c r="H34" s="167"/>
      <c r="I34" s="167"/>
      <c r="J34" s="170">
        <f t="shared" si="3"/>
        <v>0</v>
      </c>
      <c r="K34" s="171">
        <f t="shared" si="3"/>
        <v>0</v>
      </c>
      <c r="L34" s="167">
        <v>0</v>
      </c>
      <c r="M34" s="171">
        <v>0</v>
      </c>
      <c r="N34" s="167">
        <v>0</v>
      </c>
      <c r="O34" s="171">
        <v>0</v>
      </c>
      <c r="P34" s="171"/>
      <c r="Q34" s="171"/>
      <c r="R34" s="167">
        <v>0</v>
      </c>
      <c r="S34" s="171">
        <v>0</v>
      </c>
      <c r="T34" s="172" t="s">
        <v>209</v>
      </c>
    </row>
    <row r="35" spans="1:20" ht="19.5" customHeight="1" x14ac:dyDescent="0.25">
      <c r="A35" s="222" t="str">
        <f>Лист1Новосибирский!C41</f>
        <v>18 км а/д "Н-2107" - Малиновка</v>
      </c>
      <c r="B35" s="165">
        <f t="shared" si="4"/>
        <v>1</v>
      </c>
      <c r="C35" s="166">
        <f t="shared" si="4"/>
        <v>10.4</v>
      </c>
      <c r="D35" s="167">
        <v>1</v>
      </c>
      <c r="E35" s="168">
        <v>10.4</v>
      </c>
      <c r="F35" s="169">
        <v>0</v>
      </c>
      <c r="G35" s="168">
        <v>0</v>
      </c>
      <c r="H35" s="167"/>
      <c r="I35" s="167"/>
      <c r="J35" s="170">
        <f t="shared" si="3"/>
        <v>0</v>
      </c>
      <c r="K35" s="171">
        <f t="shared" si="3"/>
        <v>0</v>
      </c>
      <c r="L35" s="167">
        <v>0</v>
      </c>
      <c r="M35" s="171">
        <v>0</v>
      </c>
      <c r="N35" s="167">
        <v>0</v>
      </c>
      <c r="O35" s="171">
        <v>0</v>
      </c>
      <c r="P35" s="171"/>
      <c r="Q35" s="171"/>
      <c r="R35" s="167">
        <v>0</v>
      </c>
      <c r="S35" s="171">
        <v>0</v>
      </c>
      <c r="T35" s="172" t="s">
        <v>209</v>
      </c>
    </row>
    <row r="36" spans="1:20" ht="19.5" customHeight="1" x14ac:dyDescent="0.25">
      <c r="A36" s="222" t="str">
        <f>Лист1Новосибирский!C42</f>
        <v>16 км а/д "Н-2107" -  Шелковичиха</v>
      </c>
      <c r="B36" s="165">
        <f t="shared" si="4"/>
        <v>1</v>
      </c>
      <c r="C36" s="166">
        <f t="shared" si="4"/>
        <v>12.2</v>
      </c>
      <c r="D36" s="167">
        <v>1</v>
      </c>
      <c r="E36" s="168">
        <v>12.2</v>
      </c>
      <c r="F36" s="169">
        <v>0</v>
      </c>
      <c r="G36" s="168">
        <v>0</v>
      </c>
      <c r="H36" s="167"/>
      <c r="I36" s="167"/>
      <c r="J36" s="170">
        <f t="shared" si="3"/>
        <v>0</v>
      </c>
      <c r="K36" s="171">
        <f t="shared" si="3"/>
        <v>0</v>
      </c>
      <c r="L36" s="167">
        <v>0</v>
      </c>
      <c r="M36" s="171">
        <v>0</v>
      </c>
      <c r="N36" s="167">
        <v>0</v>
      </c>
      <c r="O36" s="171">
        <v>0</v>
      </c>
      <c r="P36" s="171"/>
      <c r="Q36" s="171"/>
      <c r="R36" s="167">
        <v>0</v>
      </c>
      <c r="S36" s="171">
        <v>0</v>
      </c>
      <c r="T36" s="172" t="s">
        <v>209</v>
      </c>
    </row>
    <row r="37" spans="1:20" ht="19.5" customHeight="1" x14ac:dyDescent="0.25">
      <c r="A37" s="222" t="str">
        <f>Лист1Новосибирский!C43</f>
        <v>1 км а/д "Н-2123" - Верх-Тула -  Ленинское - ОБЬГЭС</v>
      </c>
      <c r="B37" s="165">
        <f t="shared" si="4"/>
        <v>16</v>
      </c>
      <c r="C37" s="166">
        <f t="shared" si="4"/>
        <v>372.57</v>
      </c>
      <c r="D37" s="223">
        <f>7-1+1-2+5-1+1-1-1</f>
        <v>8</v>
      </c>
      <c r="E37" s="224">
        <f>20.1+14+17.7+14.5+15+15+20*2-20.1+23.87-14-17.7+15.14+22.42+25.59+18.8+20.15-23.87+25.66-15.14-20.15</f>
        <v>176.97</v>
      </c>
      <c r="F37" s="169">
        <f>1+1+1+1+1+1+1+1</f>
        <v>8</v>
      </c>
      <c r="G37" s="168">
        <f>27.5+28.1+25+22+21+25+23+24</f>
        <v>195.6</v>
      </c>
      <c r="H37" s="167"/>
      <c r="I37" s="167"/>
      <c r="J37" s="170">
        <f t="shared" si="3"/>
        <v>1</v>
      </c>
      <c r="K37" s="171">
        <f t="shared" si="3"/>
        <v>46</v>
      </c>
      <c r="L37" s="167">
        <v>1</v>
      </c>
      <c r="M37" s="171">
        <v>46</v>
      </c>
      <c r="N37" s="167">
        <v>0</v>
      </c>
      <c r="O37" s="171">
        <v>0</v>
      </c>
      <c r="P37" s="171"/>
      <c r="Q37" s="171"/>
      <c r="R37" s="167">
        <v>0</v>
      </c>
      <c r="S37" s="171">
        <v>0</v>
      </c>
      <c r="T37" s="172" t="s">
        <v>209</v>
      </c>
    </row>
    <row r="38" spans="1:20" ht="19.5" customHeight="1" x14ac:dyDescent="0.25">
      <c r="A38" s="222" t="str">
        <f>Лист1Новосибирский!C44</f>
        <v>Подъезд к с.Ленинское /9 км/</v>
      </c>
      <c r="B38" s="165">
        <f t="shared" si="4"/>
        <v>2</v>
      </c>
      <c r="C38" s="166">
        <f t="shared" si="4"/>
        <v>25</v>
      </c>
      <c r="D38" s="167">
        <v>2</v>
      </c>
      <c r="E38" s="168">
        <v>25</v>
      </c>
      <c r="F38" s="169">
        <v>0</v>
      </c>
      <c r="G38" s="168">
        <v>0</v>
      </c>
      <c r="H38" s="167"/>
      <c r="I38" s="167"/>
      <c r="J38" s="170">
        <f t="shared" si="3"/>
        <v>0</v>
      </c>
      <c r="K38" s="171">
        <f t="shared" si="3"/>
        <v>0</v>
      </c>
      <c r="L38" s="167">
        <v>0</v>
      </c>
      <c r="M38" s="171">
        <v>0</v>
      </c>
      <c r="N38" s="167">
        <v>0</v>
      </c>
      <c r="O38" s="171">
        <v>0</v>
      </c>
      <c r="P38" s="171"/>
      <c r="Q38" s="171"/>
      <c r="R38" s="167">
        <v>0</v>
      </c>
      <c r="S38" s="171">
        <v>0</v>
      </c>
      <c r="T38" s="172" t="s">
        <v>209</v>
      </c>
    </row>
    <row r="39" spans="1:20" ht="19.5" customHeight="1" x14ac:dyDescent="0.25">
      <c r="A39" s="222" t="str">
        <f>Лист1Новосибирский!C45</f>
        <v>25 км а/д "Н-2141" -   Ленинский</v>
      </c>
      <c r="B39" s="165">
        <f t="shared" si="4"/>
        <v>2</v>
      </c>
      <c r="C39" s="166">
        <f t="shared" si="4"/>
        <v>76.400000000000006</v>
      </c>
      <c r="D39" s="167">
        <v>1</v>
      </c>
      <c r="E39" s="168">
        <v>15</v>
      </c>
      <c r="F39" s="169">
        <v>1</v>
      </c>
      <c r="G39" s="168">
        <v>61.4</v>
      </c>
      <c r="H39" s="167"/>
      <c r="I39" s="167"/>
      <c r="J39" s="170">
        <f t="shared" si="3"/>
        <v>0</v>
      </c>
      <c r="K39" s="171">
        <f t="shared" si="3"/>
        <v>0</v>
      </c>
      <c r="L39" s="167">
        <v>0</v>
      </c>
      <c r="M39" s="171">
        <v>0</v>
      </c>
      <c r="N39" s="167">
        <v>0</v>
      </c>
      <c r="O39" s="171">
        <v>0</v>
      </c>
      <c r="P39" s="171"/>
      <c r="Q39" s="171"/>
      <c r="R39" s="167">
        <v>0</v>
      </c>
      <c r="S39" s="171">
        <v>0</v>
      </c>
      <c r="T39" s="172" t="s">
        <v>214</v>
      </c>
    </row>
    <row r="40" spans="1:20" ht="19.5" customHeight="1" x14ac:dyDescent="0.25">
      <c r="A40" s="222" t="str">
        <f>Лист1Новосибирский!C47</f>
        <v>21 км а/д "Н-2141" - Витаминка</v>
      </c>
      <c r="B40" s="165">
        <f t="shared" si="4"/>
        <v>3</v>
      </c>
      <c r="C40" s="166">
        <f t="shared" si="4"/>
        <v>45.9</v>
      </c>
      <c r="D40" s="167">
        <v>3</v>
      </c>
      <c r="E40" s="168">
        <f>15+15.5+15.4</f>
        <v>45.9</v>
      </c>
      <c r="F40" s="169">
        <v>0</v>
      </c>
      <c r="G40" s="168"/>
      <c r="H40" s="167"/>
      <c r="I40" s="167"/>
      <c r="J40" s="170">
        <f t="shared" si="3"/>
        <v>0</v>
      </c>
      <c r="K40" s="171">
        <f t="shared" si="3"/>
        <v>0</v>
      </c>
      <c r="L40" s="167">
        <v>0</v>
      </c>
      <c r="M40" s="171">
        <v>0</v>
      </c>
      <c r="N40" s="167"/>
      <c r="O40" s="171"/>
      <c r="P40" s="171"/>
      <c r="Q40" s="171"/>
      <c r="R40" s="167">
        <v>0</v>
      </c>
      <c r="S40" s="171">
        <v>0</v>
      </c>
      <c r="T40" s="172">
        <v>1</v>
      </c>
    </row>
    <row r="41" spans="1:20" ht="19.5" customHeight="1" x14ac:dyDescent="0.25">
      <c r="A41" s="222" t="str">
        <f>Лист1Новосибирский!C49</f>
        <v>Новосибирск -   Каменка</v>
      </c>
      <c r="B41" s="165">
        <f t="shared" si="4"/>
        <v>12</v>
      </c>
      <c r="C41" s="166">
        <f t="shared" si="4"/>
        <v>161.47</v>
      </c>
      <c r="D41" s="167">
        <f>4+1</f>
        <v>5</v>
      </c>
      <c r="E41" s="168">
        <f>16+15.3+30+11+21.17</f>
        <v>93.47</v>
      </c>
      <c r="F41" s="169">
        <f>7</f>
        <v>7</v>
      </c>
      <c r="G41" s="168">
        <f>6.5+17.5+7+5+18+5+9</f>
        <v>68</v>
      </c>
      <c r="H41" s="167"/>
      <c r="I41" s="167"/>
      <c r="J41" s="170">
        <f t="shared" si="3"/>
        <v>2</v>
      </c>
      <c r="K41" s="171">
        <f t="shared" si="3"/>
        <v>41.7</v>
      </c>
      <c r="L41" s="167">
        <v>1</v>
      </c>
      <c r="M41" s="171">
        <v>24.7</v>
      </c>
      <c r="N41" s="167">
        <v>1</v>
      </c>
      <c r="O41" s="171">
        <v>17</v>
      </c>
      <c r="P41" s="171"/>
      <c r="Q41" s="171"/>
      <c r="R41" s="167">
        <v>0</v>
      </c>
      <c r="S41" s="171">
        <v>0</v>
      </c>
      <c r="T41" s="172" t="s">
        <v>209</v>
      </c>
    </row>
    <row r="42" spans="1:20" ht="19.5" customHeight="1" x14ac:dyDescent="0.25">
      <c r="A42" s="222" t="str">
        <f>Лист1Новосибирский!C50</f>
        <v>12 км а/д "К-12" -  Криводановка</v>
      </c>
      <c r="B42" s="165">
        <f t="shared" si="4"/>
        <v>1</v>
      </c>
      <c r="C42" s="166">
        <f t="shared" si="4"/>
        <v>20.5</v>
      </c>
      <c r="D42" s="167">
        <v>1</v>
      </c>
      <c r="E42" s="168">
        <f>20.5</f>
        <v>20.5</v>
      </c>
      <c r="F42" s="169">
        <v>0</v>
      </c>
      <c r="G42" s="168">
        <v>0</v>
      </c>
      <c r="H42" s="167"/>
      <c r="I42" s="167"/>
      <c r="J42" s="170">
        <f t="shared" si="3"/>
        <v>0</v>
      </c>
      <c r="K42" s="171">
        <f t="shared" si="3"/>
        <v>0</v>
      </c>
      <c r="L42" s="167">
        <v>0</v>
      </c>
      <c r="M42" s="171">
        <v>0</v>
      </c>
      <c r="N42" s="167">
        <v>0</v>
      </c>
      <c r="O42" s="171">
        <v>0</v>
      </c>
      <c r="P42" s="171"/>
      <c r="Q42" s="171"/>
      <c r="R42" s="167">
        <v>0</v>
      </c>
      <c r="S42" s="171">
        <v>0</v>
      </c>
      <c r="T42" s="172">
        <v>4</v>
      </c>
    </row>
    <row r="43" spans="1:20" ht="19.5" customHeight="1" x14ac:dyDescent="0.25">
      <c r="A43" s="222" t="str">
        <f>Лист1Новосибирский!C51</f>
        <v>4 км а/д "Н-2120" - Марусино</v>
      </c>
      <c r="B43" s="165">
        <f t="shared" si="4"/>
        <v>0</v>
      </c>
      <c r="C43" s="166">
        <f t="shared" si="4"/>
        <v>0</v>
      </c>
      <c r="D43" s="167"/>
      <c r="E43" s="168"/>
      <c r="F43" s="169"/>
      <c r="G43" s="168"/>
      <c r="H43" s="167"/>
      <c r="I43" s="167"/>
      <c r="J43" s="170">
        <f t="shared" si="3"/>
        <v>0</v>
      </c>
      <c r="K43" s="171">
        <f t="shared" si="3"/>
        <v>0</v>
      </c>
      <c r="L43" s="167">
        <v>0</v>
      </c>
      <c r="M43" s="171">
        <v>0</v>
      </c>
      <c r="N43" s="167">
        <v>0</v>
      </c>
      <c r="O43" s="171">
        <v>0</v>
      </c>
      <c r="P43" s="171"/>
      <c r="Q43" s="171"/>
      <c r="R43" s="167">
        <v>0</v>
      </c>
      <c r="S43" s="171">
        <v>0</v>
      </c>
      <c r="T43" s="172">
        <v>1</v>
      </c>
    </row>
    <row r="44" spans="1:20" ht="19.5" customHeight="1" x14ac:dyDescent="0.25">
      <c r="A44" s="222" t="str">
        <f>Лист1Новосибирский!C52</f>
        <v>45км а/д "К-17р" - Боровое</v>
      </c>
      <c r="B44" s="165">
        <f t="shared" si="4"/>
        <v>7</v>
      </c>
      <c r="C44" s="166">
        <f t="shared" si="4"/>
        <v>99.800000000000011</v>
      </c>
      <c r="D44" s="167">
        <v>7</v>
      </c>
      <c r="E44" s="168">
        <f>16.2+20+20+10.2+8.2+10.2+15</f>
        <v>99.800000000000011</v>
      </c>
      <c r="F44" s="169">
        <v>0</v>
      </c>
      <c r="G44" s="168">
        <v>0</v>
      </c>
      <c r="H44" s="167"/>
      <c r="I44" s="167"/>
      <c r="J44" s="170">
        <f t="shared" si="3"/>
        <v>0</v>
      </c>
      <c r="K44" s="171">
        <f t="shared" si="3"/>
        <v>0</v>
      </c>
      <c r="L44" s="167"/>
      <c r="M44" s="171"/>
      <c r="N44" s="167"/>
      <c r="O44" s="171"/>
      <c r="P44" s="171"/>
      <c r="Q44" s="171"/>
      <c r="R44" s="167">
        <v>0</v>
      </c>
      <c r="S44" s="171">
        <v>0</v>
      </c>
      <c r="T44" s="172" t="s">
        <v>209</v>
      </c>
    </row>
    <row r="45" spans="1:20" ht="19.5" customHeight="1" x14ac:dyDescent="0.25">
      <c r="A45" s="222" t="str">
        <f>Лист1Новосибирский!C53</f>
        <v>21 км а/д "К-17р" - Верх-Тула</v>
      </c>
      <c r="B45" s="165">
        <f t="shared" si="4"/>
        <v>1</v>
      </c>
      <c r="C45" s="166">
        <f t="shared" si="4"/>
        <v>10.199999999999999</v>
      </c>
      <c r="D45" s="167">
        <v>1</v>
      </c>
      <c r="E45" s="168">
        <v>10.199999999999999</v>
      </c>
      <c r="F45" s="225"/>
      <c r="G45" s="168">
        <v>0</v>
      </c>
      <c r="H45" s="167"/>
      <c r="I45" s="167"/>
      <c r="J45" s="170"/>
      <c r="K45" s="171"/>
      <c r="L45" s="167"/>
      <c r="M45" s="171"/>
      <c r="N45" s="167"/>
      <c r="O45" s="171"/>
      <c r="P45" s="171"/>
      <c r="Q45" s="171"/>
      <c r="R45" s="167">
        <v>0</v>
      </c>
      <c r="S45" s="171">
        <v>0</v>
      </c>
      <c r="T45" s="172" t="s">
        <v>209</v>
      </c>
    </row>
    <row r="46" spans="1:20" ht="19.5" customHeight="1" x14ac:dyDescent="0.25">
      <c r="A46" s="222" t="str">
        <f>Лист1Новосибирский!C54</f>
        <v>36 км а/д "К-17р" - Ярково - Пайвино - Сенчанка</v>
      </c>
      <c r="B46" s="165">
        <f t="shared" si="4"/>
        <v>11</v>
      </c>
      <c r="C46" s="166">
        <f t="shared" si="4"/>
        <v>141.19999999999999</v>
      </c>
      <c r="D46" s="167">
        <v>11</v>
      </c>
      <c r="E46" s="168">
        <f>10.2+16.4+10+10.4+10+14.8+14.7+18.8+10.4+10.3+15.2</f>
        <v>141.19999999999999</v>
      </c>
      <c r="F46" s="169">
        <v>0</v>
      </c>
      <c r="G46" s="168">
        <v>0</v>
      </c>
      <c r="H46" s="167"/>
      <c r="I46" s="167"/>
      <c r="J46" s="170">
        <f t="shared" si="3"/>
        <v>1</v>
      </c>
      <c r="K46" s="171">
        <f t="shared" si="3"/>
        <v>9</v>
      </c>
      <c r="L46" s="167">
        <v>0</v>
      </c>
      <c r="M46" s="171">
        <v>0</v>
      </c>
      <c r="N46" s="167">
        <v>1</v>
      </c>
      <c r="O46" s="171">
        <v>9</v>
      </c>
      <c r="P46" s="171"/>
      <c r="Q46" s="171"/>
      <c r="R46" s="167">
        <v>0</v>
      </c>
      <c r="S46" s="171">
        <v>0</v>
      </c>
      <c r="T46" s="172" t="s">
        <v>209</v>
      </c>
    </row>
    <row r="47" spans="1:20" ht="19.5" customHeight="1" x14ac:dyDescent="0.25">
      <c r="A47" s="222" t="str">
        <f>Лист1Новосибирский!C55</f>
        <v>10 км а/д "Н-2122" -  Береговое</v>
      </c>
      <c r="B47" s="165">
        <f t="shared" si="4"/>
        <v>7</v>
      </c>
      <c r="C47" s="166">
        <f t="shared" si="4"/>
        <v>92.05</v>
      </c>
      <c r="D47" s="167">
        <f>8-1</f>
        <v>7</v>
      </c>
      <c r="E47" s="168">
        <f>10+10.2+15.3+15.35+15.6+15.6+10+15.3-15.3</f>
        <v>92.05</v>
      </c>
      <c r="F47" s="169">
        <v>0</v>
      </c>
      <c r="G47" s="168">
        <v>0</v>
      </c>
      <c r="H47" s="167"/>
      <c r="I47" s="167"/>
      <c r="J47" s="170">
        <f t="shared" ref="J47:K61" si="5">L47+N47+P47+R47</f>
        <v>0</v>
      </c>
      <c r="K47" s="171">
        <f t="shared" si="5"/>
        <v>0</v>
      </c>
      <c r="L47" s="167">
        <v>0</v>
      </c>
      <c r="M47" s="171">
        <v>0</v>
      </c>
      <c r="N47" s="167">
        <v>0</v>
      </c>
      <c r="O47" s="171">
        <v>0</v>
      </c>
      <c r="P47" s="171"/>
      <c r="Q47" s="171"/>
      <c r="R47" s="167">
        <v>0</v>
      </c>
      <c r="S47" s="171">
        <v>0</v>
      </c>
      <c r="T47" s="172" t="s">
        <v>209</v>
      </c>
    </row>
    <row r="48" spans="1:20" ht="19.5" customHeight="1" x14ac:dyDescent="0.25">
      <c r="A48" s="222" t="str">
        <f>Лист1Новосибирский!C56</f>
        <v>53 км а/д "К-17р" - Новошилово - Шилово</v>
      </c>
      <c r="B48" s="165">
        <f t="shared" si="4"/>
        <v>1</v>
      </c>
      <c r="C48" s="166">
        <f t="shared" si="4"/>
        <v>16.600000000000001</v>
      </c>
      <c r="D48" s="167">
        <v>1</v>
      </c>
      <c r="E48" s="168">
        <f>16.6</f>
        <v>16.600000000000001</v>
      </c>
      <c r="F48" s="169">
        <v>0</v>
      </c>
      <c r="G48" s="168">
        <v>0</v>
      </c>
      <c r="H48" s="167"/>
      <c r="I48" s="167"/>
      <c r="J48" s="170">
        <f t="shared" si="5"/>
        <v>0</v>
      </c>
      <c r="K48" s="171">
        <f t="shared" si="5"/>
        <v>0</v>
      </c>
      <c r="L48" s="167">
        <v>0</v>
      </c>
      <c r="M48" s="171">
        <v>0</v>
      </c>
      <c r="N48" s="167">
        <v>0</v>
      </c>
      <c r="O48" s="171">
        <v>0</v>
      </c>
      <c r="P48" s="171"/>
      <c r="Q48" s="171"/>
      <c r="R48" s="167">
        <v>0</v>
      </c>
      <c r="S48" s="171">
        <v>0</v>
      </c>
      <c r="T48" s="172" t="s">
        <v>209</v>
      </c>
    </row>
    <row r="49" spans="1:20" ht="19.5" customHeight="1" x14ac:dyDescent="0.25">
      <c r="A49" s="222" t="str">
        <f>Лист1Новосибирский!C57</f>
        <v>27 км а/д "К-17р" - им.Крупской</v>
      </c>
      <c r="B49" s="165">
        <f t="shared" si="4"/>
        <v>4</v>
      </c>
      <c r="C49" s="166">
        <f t="shared" si="4"/>
        <v>51.2</v>
      </c>
      <c r="D49" s="167">
        <v>4</v>
      </c>
      <c r="E49" s="168">
        <f>15.4+15.4+10.2+10.2</f>
        <v>51.2</v>
      </c>
      <c r="F49" s="169">
        <v>0</v>
      </c>
      <c r="G49" s="168">
        <v>0</v>
      </c>
      <c r="H49" s="167"/>
      <c r="I49" s="167"/>
      <c r="J49" s="170">
        <f t="shared" si="5"/>
        <v>0</v>
      </c>
      <c r="K49" s="171">
        <f t="shared" si="5"/>
        <v>0</v>
      </c>
      <c r="L49" s="167">
        <v>0</v>
      </c>
      <c r="M49" s="171">
        <v>0</v>
      </c>
      <c r="N49" s="167">
        <v>0</v>
      </c>
      <c r="O49" s="171">
        <v>0</v>
      </c>
      <c r="P49" s="171"/>
      <c r="Q49" s="171"/>
      <c r="R49" s="167">
        <v>0</v>
      </c>
      <c r="S49" s="171">
        <v>0</v>
      </c>
      <c r="T49" s="220" t="s">
        <v>209</v>
      </c>
    </row>
    <row r="50" spans="1:20" ht="19.5" customHeight="1" x14ac:dyDescent="0.25">
      <c r="A50" s="222" t="str">
        <f>Лист1Новосибирский!C58</f>
        <v>Новосибирск - Тулинский</v>
      </c>
      <c r="B50" s="165">
        <f t="shared" si="4"/>
        <v>2</v>
      </c>
      <c r="C50" s="166">
        <f t="shared" si="4"/>
        <v>20.399999999999999</v>
      </c>
      <c r="D50" s="167">
        <v>0</v>
      </c>
      <c r="E50" s="168">
        <v>0</v>
      </c>
      <c r="F50" s="169">
        <v>2</v>
      </c>
      <c r="G50" s="168">
        <f>10.2+10.2</f>
        <v>20.399999999999999</v>
      </c>
      <c r="H50" s="167"/>
      <c r="I50" s="167"/>
      <c r="J50" s="170">
        <f t="shared" si="5"/>
        <v>0</v>
      </c>
      <c r="K50" s="171">
        <f t="shared" si="5"/>
        <v>0</v>
      </c>
      <c r="L50" s="167">
        <v>0</v>
      </c>
      <c r="M50" s="171">
        <v>0</v>
      </c>
      <c r="N50" s="167">
        <v>0</v>
      </c>
      <c r="O50" s="171">
        <v>0</v>
      </c>
      <c r="P50" s="171"/>
      <c r="Q50" s="171"/>
      <c r="R50" s="167">
        <v>0</v>
      </c>
      <c r="S50" s="171">
        <v>0</v>
      </c>
      <c r="T50" s="172" t="s">
        <v>209</v>
      </c>
    </row>
    <row r="51" spans="1:20" ht="19.5" customHeight="1" x14ac:dyDescent="0.25">
      <c r="A51" s="222" t="str">
        <f>Лист1Новосибирский!C59</f>
        <v>7 км а/д "Н-2122" - Прогресс</v>
      </c>
      <c r="B51" s="165">
        <f t="shared" si="4"/>
        <v>3</v>
      </c>
      <c r="C51" s="166">
        <f t="shared" si="4"/>
        <v>37.06</v>
      </c>
      <c r="D51" s="167">
        <v>1</v>
      </c>
      <c r="E51" s="168">
        <v>11.2</v>
      </c>
      <c r="F51" s="167">
        <f>2</f>
        <v>2</v>
      </c>
      <c r="G51" s="168">
        <f>12.93*2</f>
        <v>25.86</v>
      </c>
      <c r="H51" s="167"/>
      <c r="I51" s="167"/>
      <c r="J51" s="170">
        <f t="shared" si="5"/>
        <v>0</v>
      </c>
      <c r="K51" s="171">
        <f t="shared" si="5"/>
        <v>0</v>
      </c>
      <c r="L51" s="167">
        <v>0</v>
      </c>
      <c r="M51" s="171">
        <v>0</v>
      </c>
      <c r="N51" s="167"/>
      <c r="O51" s="171"/>
      <c r="P51" s="171"/>
      <c r="Q51" s="171"/>
      <c r="R51" s="167">
        <v>0</v>
      </c>
      <c r="S51" s="171">
        <v>0</v>
      </c>
      <c r="T51" s="172" t="s">
        <v>209</v>
      </c>
    </row>
    <row r="52" spans="1:20" ht="19.5" customHeight="1" x14ac:dyDescent="0.25">
      <c r="A52" s="222" t="str">
        <f>Лист1Новосибирский!C60</f>
        <v>20 км а/д "К-12" - Кудряшовский</v>
      </c>
      <c r="B52" s="165">
        <f t="shared" si="4"/>
        <v>0</v>
      </c>
      <c r="C52" s="166">
        <f t="shared" si="4"/>
        <v>0</v>
      </c>
      <c r="D52" s="167"/>
      <c r="E52" s="168"/>
      <c r="F52" s="169">
        <v>0</v>
      </c>
      <c r="G52" s="168">
        <v>0</v>
      </c>
      <c r="H52" s="167"/>
      <c r="I52" s="167"/>
      <c r="J52" s="170">
        <f t="shared" si="5"/>
        <v>0</v>
      </c>
      <c r="K52" s="171">
        <f t="shared" si="5"/>
        <v>0</v>
      </c>
      <c r="L52" s="167">
        <v>0</v>
      </c>
      <c r="M52" s="171">
        <v>0</v>
      </c>
      <c r="N52" s="167">
        <v>0</v>
      </c>
      <c r="O52" s="171">
        <v>0</v>
      </c>
      <c r="P52" s="171"/>
      <c r="Q52" s="171"/>
      <c r="R52" s="167">
        <v>0</v>
      </c>
      <c r="S52" s="171">
        <v>0</v>
      </c>
      <c r="T52" s="172" t="s">
        <v>209</v>
      </c>
    </row>
    <row r="53" spans="1:20" ht="19.5" customHeight="1" x14ac:dyDescent="0.25">
      <c r="A53" s="222" t="str">
        <f>Лист1Новосибирский!C61</f>
        <v>29 км а/д "К-19р" - Жеребцово</v>
      </c>
      <c r="B53" s="165">
        <f t="shared" si="4"/>
        <v>7</v>
      </c>
      <c r="C53" s="166">
        <f t="shared" si="4"/>
        <v>99</v>
      </c>
      <c r="D53" s="167">
        <v>7</v>
      </c>
      <c r="E53" s="168">
        <f>15+10.1+15+15+12.3+16.3+15.3</f>
        <v>99</v>
      </c>
      <c r="F53" s="169"/>
      <c r="G53" s="168"/>
      <c r="H53" s="167"/>
      <c r="I53" s="167"/>
      <c r="J53" s="170">
        <f t="shared" si="5"/>
        <v>0</v>
      </c>
      <c r="K53" s="171">
        <f t="shared" si="5"/>
        <v>0</v>
      </c>
      <c r="L53" s="167"/>
      <c r="M53" s="171"/>
      <c r="N53" s="167"/>
      <c r="O53" s="171"/>
      <c r="P53" s="171"/>
      <c r="Q53" s="171"/>
      <c r="R53" s="167"/>
      <c r="S53" s="171"/>
      <c r="T53" s="172" t="s">
        <v>209</v>
      </c>
    </row>
    <row r="54" spans="1:20" ht="19.5" customHeight="1" x14ac:dyDescent="0.25">
      <c r="A54" s="222" t="str">
        <f>Лист1Новосибирский!C62</f>
        <v>Подьезд к пионерскому лагерю</v>
      </c>
      <c r="B54" s="165">
        <f t="shared" si="4"/>
        <v>1</v>
      </c>
      <c r="C54" s="166">
        <f t="shared" si="4"/>
        <v>11</v>
      </c>
      <c r="D54" s="167">
        <v>1</v>
      </c>
      <c r="E54" s="168">
        <v>11</v>
      </c>
      <c r="F54" s="169">
        <v>0</v>
      </c>
      <c r="G54" s="168">
        <v>0</v>
      </c>
      <c r="H54" s="167"/>
      <c r="I54" s="167"/>
      <c r="J54" s="170">
        <f t="shared" si="5"/>
        <v>0</v>
      </c>
      <c r="K54" s="171">
        <f t="shared" si="5"/>
        <v>0</v>
      </c>
      <c r="L54" s="167">
        <v>0</v>
      </c>
      <c r="M54" s="171">
        <v>0</v>
      </c>
      <c r="N54" s="167">
        <v>0</v>
      </c>
      <c r="O54" s="171">
        <v>0</v>
      </c>
      <c r="P54" s="171"/>
      <c r="Q54" s="171"/>
      <c r="R54" s="167">
        <v>0</v>
      </c>
      <c r="S54" s="171">
        <v>0</v>
      </c>
      <c r="T54" s="220" t="s">
        <v>209</v>
      </c>
    </row>
    <row r="55" spans="1:20" ht="19.5" customHeight="1" x14ac:dyDescent="0.25">
      <c r="A55" s="222" t="str">
        <f>Лист1Новосибирский!C63</f>
        <v>Кольцово - Академгородок</v>
      </c>
      <c r="B55" s="165">
        <f t="shared" si="4"/>
        <v>13</v>
      </c>
      <c r="C55" s="166">
        <f t="shared" si="4"/>
        <v>266.76</v>
      </c>
      <c r="D55" s="167">
        <f>11+1+6-5</f>
        <v>13</v>
      </c>
      <c r="E55" s="168">
        <f>25.5+20.4+20.4+15.3+15.3+15.3+15+15.3+15.3+15.1+15.3+(18.8-15.3)+(18.8-15.1)+15.14-25.5-20.4-20.4-15.3-15.2+28.84+23.82+23.82+18.8+25.16+23.82+8.76</f>
        <v>266.76</v>
      </c>
      <c r="F55" s="169"/>
      <c r="G55" s="168"/>
      <c r="H55" s="167"/>
      <c r="I55" s="167"/>
      <c r="J55" s="170">
        <f t="shared" si="5"/>
        <v>0</v>
      </c>
      <c r="K55" s="171">
        <f t="shared" si="5"/>
        <v>0</v>
      </c>
      <c r="L55" s="167"/>
      <c r="M55" s="171"/>
      <c r="N55" s="167"/>
      <c r="O55" s="171"/>
      <c r="P55" s="171"/>
      <c r="Q55" s="171"/>
      <c r="R55" s="167"/>
      <c r="S55" s="171"/>
      <c r="T55" s="220" t="s">
        <v>209</v>
      </c>
    </row>
    <row r="56" spans="1:20" ht="19.5" customHeight="1" x14ac:dyDescent="0.25">
      <c r="A56" s="222" t="str">
        <f>Лист1Новосибирский!C65</f>
        <v>29 км а/д "К-12" - Катковский (в гр. района)</v>
      </c>
      <c r="B56" s="165">
        <f t="shared" si="4"/>
        <v>1</v>
      </c>
      <c r="C56" s="166">
        <f t="shared" si="4"/>
        <v>15.1</v>
      </c>
      <c r="D56" s="167">
        <v>1</v>
      </c>
      <c r="E56" s="168">
        <v>15.1</v>
      </c>
      <c r="F56" s="169"/>
      <c r="G56" s="168"/>
      <c r="H56" s="167"/>
      <c r="I56" s="167"/>
      <c r="J56" s="170">
        <f t="shared" si="5"/>
        <v>0</v>
      </c>
      <c r="K56" s="171">
        <f t="shared" si="5"/>
        <v>0</v>
      </c>
      <c r="L56" s="167"/>
      <c r="M56" s="171"/>
      <c r="N56" s="167"/>
      <c r="O56" s="171"/>
      <c r="P56" s="171"/>
      <c r="Q56" s="171"/>
      <c r="R56" s="167"/>
      <c r="S56" s="171"/>
      <c r="T56" s="220" t="s">
        <v>209</v>
      </c>
    </row>
    <row r="57" spans="1:20" ht="19.5" customHeight="1" x14ac:dyDescent="0.25">
      <c r="A57" s="222" t="str">
        <f>Лист1Новосибирский!C66</f>
        <v>Новосибирск - Красный Яр</v>
      </c>
      <c r="B57" s="165">
        <f t="shared" si="4"/>
        <v>0</v>
      </c>
      <c r="C57" s="166">
        <f t="shared" si="4"/>
        <v>0</v>
      </c>
      <c r="D57" s="167"/>
      <c r="E57" s="168"/>
      <c r="F57" s="169"/>
      <c r="G57" s="168"/>
      <c r="H57" s="167"/>
      <c r="I57" s="167"/>
      <c r="J57" s="170">
        <f t="shared" si="5"/>
        <v>0</v>
      </c>
      <c r="K57" s="171">
        <f t="shared" si="5"/>
        <v>0</v>
      </c>
      <c r="L57" s="167"/>
      <c r="M57" s="171"/>
      <c r="N57" s="167"/>
      <c r="O57" s="171"/>
      <c r="P57" s="171"/>
      <c r="Q57" s="171"/>
      <c r="R57" s="167"/>
      <c r="S57" s="171"/>
      <c r="T57" s="220" t="s">
        <v>210</v>
      </c>
    </row>
    <row r="58" spans="1:20" ht="19.5" customHeight="1" x14ac:dyDescent="0.25">
      <c r="A58" s="164" t="str">
        <f>Лист1Новосибирский!C68</f>
        <v>23 км а/д "Н-2141" - Локти (в гр. района)</v>
      </c>
      <c r="B58" s="165">
        <f t="shared" si="4"/>
        <v>7</v>
      </c>
      <c r="C58" s="166">
        <f t="shared" si="4"/>
        <v>123.52</v>
      </c>
      <c r="D58" s="167">
        <f>1-1+2</f>
        <v>2</v>
      </c>
      <c r="E58" s="168">
        <f>12.5-12.5+27.26+18.16</f>
        <v>45.42</v>
      </c>
      <c r="F58" s="169">
        <f>5</f>
        <v>5</v>
      </c>
      <c r="G58" s="168">
        <f>19+13+12.5+17+16.6</f>
        <v>78.099999999999994</v>
      </c>
      <c r="H58" s="167"/>
      <c r="I58" s="167"/>
      <c r="J58" s="170">
        <f t="shared" si="5"/>
        <v>0</v>
      </c>
      <c r="K58" s="171">
        <f t="shared" si="5"/>
        <v>0</v>
      </c>
      <c r="L58" s="167"/>
      <c r="M58" s="171"/>
      <c r="N58" s="167"/>
      <c r="O58" s="171"/>
      <c r="P58" s="171"/>
      <c r="Q58" s="171"/>
      <c r="R58" s="167"/>
      <c r="S58" s="171"/>
      <c r="T58" s="220" t="s">
        <v>209</v>
      </c>
    </row>
    <row r="59" spans="1:20" ht="19.5" customHeight="1" x14ac:dyDescent="0.25">
      <c r="A59" s="222" t="str">
        <f>Лист1Новосибирский!C69</f>
        <v>Советское шоссе</v>
      </c>
      <c r="B59" s="165">
        <f>D59+F59</f>
        <v>9</v>
      </c>
      <c r="C59" s="166">
        <f>E59+G59</f>
        <v>338.34000000000003</v>
      </c>
      <c r="D59" s="167">
        <f>2+1</f>
        <v>3</v>
      </c>
      <c r="E59" s="168">
        <f>36.23+32+42.27</f>
        <v>110.5</v>
      </c>
      <c r="F59" s="169">
        <f>4+2</f>
        <v>6</v>
      </c>
      <c r="G59" s="168">
        <f>16.48+37.89*2+31.86*3+16.5+16.5+7</f>
        <v>227.84</v>
      </c>
      <c r="H59" s="165"/>
      <c r="I59" s="165"/>
      <c r="J59" s="189">
        <f t="shared" si="5"/>
        <v>1</v>
      </c>
      <c r="K59" s="185">
        <f t="shared" si="5"/>
        <v>78.099999999999994</v>
      </c>
      <c r="L59" s="167">
        <v>1</v>
      </c>
      <c r="M59" s="171">
        <v>78.099999999999994</v>
      </c>
      <c r="N59" s="165"/>
      <c r="O59" s="165"/>
      <c r="P59" s="165"/>
      <c r="Q59" s="165"/>
      <c r="R59" s="165"/>
      <c r="S59" s="165"/>
      <c r="T59" s="226" t="s">
        <v>210</v>
      </c>
    </row>
    <row r="60" spans="1:20" ht="19.5" customHeight="1" x14ac:dyDescent="0.25">
      <c r="A60" s="222" t="str">
        <f>Лист1Новосибирский!C70</f>
        <v>8 км а/д "Н-2107" - Кольцово</v>
      </c>
      <c r="B60" s="165">
        <f t="shared" si="4"/>
        <v>0</v>
      </c>
      <c r="C60" s="166">
        <f t="shared" si="4"/>
        <v>0</v>
      </c>
      <c r="D60" s="167"/>
      <c r="E60" s="168"/>
      <c r="F60" s="169"/>
      <c r="G60" s="168"/>
      <c r="H60" s="165"/>
      <c r="I60" s="165"/>
      <c r="J60" s="189">
        <f t="shared" si="5"/>
        <v>0</v>
      </c>
      <c r="K60" s="185">
        <f t="shared" si="5"/>
        <v>0</v>
      </c>
      <c r="L60" s="167"/>
      <c r="M60" s="171"/>
      <c r="N60" s="165"/>
      <c r="O60" s="165"/>
      <c r="P60" s="165"/>
      <c r="Q60" s="165"/>
      <c r="R60" s="165"/>
      <c r="S60" s="165"/>
      <c r="T60" s="226" t="s">
        <v>210</v>
      </c>
    </row>
    <row r="61" spans="1:20" ht="19.5" customHeight="1" x14ac:dyDescent="0.25">
      <c r="A61" s="222" t="str">
        <f>Лист1Новосибирский!C71</f>
        <v>Новосибирск - Сокур (в гр. района)</v>
      </c>
      <c r="B61" s="165">
        <f>D61+F61</f>
        <v>5</v>
      </c>
      <c r="C61" s="51">
        <f t="shared" si="4"/>
        <v>101.76</v>
      </c>
      <c r="D61" s="165">
        <f>5</f>
        <v>5</v>
      </c>
      <c r="E61" s="51">
        <f>22.23+22.23+25.3+13.8+18.2</f>
        <v>101.76</v>
      </c>
      <c r="F61" s="165">
        <f>H61+J61</f>
        <v>0</v>
      </c>
      <c r="G61" s="51">
        <f>I61+K61</f>
        <v>0</v>
      </c>
      <c r="H61" s="165"/>
      <c r="I61" s="165"/>
      <c r="J61" s="189">
        <f t="shared" si="5"/>
        <v>0</v>
      </c>
      <c r="K61" s="185">
        <f t="shared" si="5"/>
        <v>0</v>
      </c>
      <c r="L61" s="165"/>
      <c r="M61" s="165"/>
      <c r="N61" s="165"/>
      <c r="O61" s="165"/>
      <c r="P61" s="165"/>
      <c r="Q61" s="165"/>
      <c r="R61" s="165"/>
      <c r="S61" s="165"/>
      <c r="T61" s="226" t="s">
        <v>210</v>
      </c>
    </row>
    <row r="62" spans="1:20" ht="38.25" customHeight="1" x14ac:dyDescent="0.25">
      <c r="A62" s="264" t="str">
        <f>Лист1Новосибирский!C72</f>
        <v>Подъездные автомобильные дороги в промышленно-логистическом парке</v>
      </c>
      <c r="B62" s="165">
        <f>D62+F62</f>
        <v>9</v>
      </c>
      <c r="C62" s="51">
        <f t="shared" si="4"/>
        <v>180.31</v>
      </c>
      <c r="D62" s="165">
        <f>8</f>
        <v>8</v>
      </c>
      <c r="E62" s="51">
        <f>18.22+18.26+21.13+21.13+21.13+19.68+19.68+19.68</f>
        <v>158.91</v>
      </c>
      <c r="F62" s="165">
        <f>1</f>
        <v>1</v>
      </c>
      <c r="G62" s="51">
        <f>21.4</f>
        <v>21.4</v>
      </c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226" t="s">
        <v>210</v>
      </c>
    </row>
    <row r="63" spans="1:20" ht="38.25" customHeight="1" x14ac:dyDescent="0.25">
      <c r="A63" s="264" t="str">
        <f>Лист1Новосибирский!C73</f>
        <v>"Барышево - Орловка - Кольцово" с автодорожным тоннелем под железной дорогой</v>
      </c>
      <c r="B63" s="165">
        <f>D63+F63</f>
        <v>5</v>
      </c>
      <c r="C63" s="51">
        <f t="shared" si="4"/>
        <v>300.33</v>
      </c>
      <c r="D63" s="165">
        <v>1</v>
      </c>
      <c r="E63" s="51">
        <v>41.01</v>
      </c>
      <c r="F63" s="165">
        <v>4</v>
      </c>
      <c r="G63" s="51">
        <f>47.13+59.09+130.6+22.5</f>
        <v>259.32</v>
      </c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226" t="s">
        <v>210</v>
      </c>
    </row>
    <row r="64" spans="1:20" ht="38.25" customHeight="1" x14ac:dyDescent="0.25">
      <c r="A64" s="264" t="str">
        <f>Лист1Новосибирский!C74</f>
        <v>от с. Криводановка до Северного обхода г. Новосибирска</v>
      </c>
      <c r="B64" s="165">
        <f>D64+F64</f>
        <v>2</v>
      </c>
      <c r="C64" s="51">
        <f t="shared" si="4"/>
        <v>40.79</v>
      </c>
      <c r="D64" s="165">
        <f>1+1</f>
        <v>2</v>
      </c>
      <c r="E64" s="51">
        <f>22.68+18.11</f>
        <v>40.79</v>
      </c>
      <c r="F64" s="165"/>
      <c r="G64" s="51"/>
      <c r="H64" s="165"/>
      <c r="I64" s="165"/>
      <c r="J64" s="165">
        <f>L64+N64+P64+R64</f>
        <v>1</v>
      </c>
      <c r="K64" s="227">
        <f>M64+O64+Q64+S64</f>
        <v>23.1</v>
      </c>
      <c r="L64" s="165">
        <v>1</v>
      </c>
      <c r="M64" s="227">
        <v>23.1</v>
      </c>
      <c r="N64" s="165"/>
      <c r="O64" s="165"/>
      <c r="P64" s="165"/>
      <c r="Q64" s="165"/>
      <c r="R64" s="165"/>
      <c r="S64" s="165"/>
      <c r="T64" s="226" t="s">
        <v>210</v>
      </c>
    </row>
    <row r="65" spans="1:20" ht="19.5" customHeight="1" x14ac:dyDescent="0.25">
      <c r="A65" s="222" t="str">
        <f>Лист1Новосибирский!C75</f>
        <v>Криводановка - Северный объезд г. Новосибирска</v>
      </c>
      <c r="B65" s="165">
        <f>D65+F65</f>
        <v>0</v>
      </c>
      <c r="C65" s="51">
        <f t="shared" si="4"/>
        <v>0</v>
      </c>
      <c r="D65" s="165"/>
      <c r="E65" s="51"/>
      <c r="F65" s="165"/>
      <c r="G65" s="51"/>
      <c r="H65" s="165"/>
      <c r="I65" s="165"/>
      <c r="J65" s="165">
        <f>L65+N65+P65+R65</f>
        <v>0</v>
      </c>
      <c r="K65" s="165">
        <f>M65+O65+Q65+S65</f>
        <v>0</v>
      </c>
      <c r="L65" s="165"/>
      <c r="M65" s="165"/>
      <c r="N65" s="165"/>
      <c r="O65" s="165"/>
      <c r="P65" s="165"/>
      <c r="Q65" s="165"/>
      <c r="R65" s="165"/>
      <c r="S65" s="165"/>
      <c r="T65" s="226" t="s">
        <v>210</v>
      </c>
    </row>
    <row r="66" spans="1:20" ht="36.75" customHeight="1" x14ac:dyDescent="0.25">
      <c r="A66" s="228" t="str">
        <f>Лист1Новосибирский!C76</f>
        <v>Барышево - Орловка - Кольцово на участке км 2+246 - км 2+426</v>
      </c>
      <c r="B66" s="229"/>
      <c r="C66" s="230"/>
      <c r="D66" s="229"/>
      <c r="E66" s="231"/>
      <c r="F66" s="229"/>
      <c r="G66" s="231"/>
      <c r="H66" s="229"/>
      <c r="I66" s="229"/>
      <c r="J66" s="229"/>
      <c r="K66" s="229"/>
      <c r="L66" s="229"/>
      <c r="M66" s="232"/>
      <c r="N66" s="229"/>
      <c r="O66" s="229"/>
      <c r="P66" s="229"/>
      <c r="Q66" s="229"/>
      <c r="R66" s="229"/>
      <c r="S66" s="229"/>
      <c r="T66" s="233" t="s">
        <v>210</v>
      </c>
    </row>
    <row r="67" spans="1:20" ht="19.5" customHeight="1" thickBot="1" x14ac:dyDescent="0.2">
      <c r="A67" s="234" t="s">
        <v>215</v>
      </c>
      <c r="B67" s="235">
        <f t="shared" ref="B67:S67" si="6">SUM(B22:B66)</f>
        <v>219</v>
      </c>
      <c r="C67" s="236">
        <f t="shared" si="6"/>
        <v>4246.3200000000015</v>
      </c>
      <c r="D67" s="235">
        <f t="shared" si="6"/>
        <v>173</v>
      </c>
      <c r="E67" s="236">
        <f t="shared" si="6"/>
        <v>3150.5500000000006</v>
      </c>
      <c r="F67" s="235">
        <f t="shared" si="6"/>
        <v>46</v>
      </c>
      <c r="G67" s="236">
        <f t="shared" si="6"/>
        <v>1095.77</v>
      </c>
      <c r="H67" s="235">
        <f t="shared" si="6"/>
        <v>0</v>
      </c>
      <c r="I67" s="236">
        <f t="shared" si="6"/>
        <v>0</v>
      </c>
      <c r="J67" s="237">
        <f t="shared" si="6"/>
        <v>8</v>
      </c>
      <c r="K67" s="238">
        <f t="shared" si="6"/>
        <v>263.39999999999998</v>
      </c>
      <c r="L67" s="237">
        <f t="shared" si="6"/>
        <v>4</v>
      </c>
      <c r="M67" s="238">
        <f t="shared" si="6"/>
        <v>171.9</v>
      </c>
      <c r="N67" s="237">
        <f t="shared" si="6"/>
        <v>3</v>
      </c>
      <c r="O67" s="238">
        <f t="shared" si="6"/>
        <v>55</v>
      </c>
      <c r="P67" s="237">
        <f t="shared" si="6"/>
        <v>1</v>
      </c>
      <c r="Q67" s="238">
        <f t="shared" si="6"/>
        <v>36.5</v>
      </c>
      <c r="R67" s="235">
        <f t="shared" si="6"/>
        <v>0</v>
      </c>
      <c r="S67" s="236">
        <f t="shared" si="6"/>
        <v>0</v>
      </c>
      <c r="T67" s="239">
        <v>10</v>
      </c>
    </row>
    <row r="68" spans="1:20" ht="18.95" customHeight="1" thickTop="1" x14ac:dyDescent="0.25">
      <c r="A68" s="240"/>
      <c r="B68" s="241"/>
      <c r="C68" s="242"/>
      <c r="D68" s="241"/>
      <c r="E68" s="243"/>
      <c r="F68" s="244"/>
      <c r="G68" s="245"/>
      <c r="H68" s="246"/>
      <c r="I68" s="246"/>
      <c r="J68" s="246">
        <f>L68+N68+R68</f>
        <v>0</v>
      </c>
      <c r="K68" s="247">
        <f>M68+O68+S68</f>
        <v>0</v>
      </c>
      <c r="L68" s="246"/>
      <c r="M68" s="247"/>
      <c r="N68" s="246"/>
      <c r="O68" s="247"/>
      <c r="P68" s="247"/>
      <c r="Q68" s="247"/>
      <c r="R68" s="246"/>
      <c r="S68" s="247"/>
      <c r="T68" s="248"/>
    </row>
    <row r="69" spans="1:20" ht="18.95" customHeight="1" x14ac:dyDescent="0.25">
      <c r="A69" s="249" t="s">
        <v>216</v>
      </c>
      <c r="B69" s="250">
        <f t="shared" ref="B69:S69" si="7">SUM(B67,B20)</f>
        <v>289</v>
      </c>
      <c r="C69" s="120">
        <f t="shared" si="7"/>
        <v>5668.1000000000013</v>
      </c>
      <c r="D69" s="250">
        <f t="shared" si="7"/>
        <v>232</v>
      </c>
      <c r="E69" s="120">
        <f t="shared" si="7"/>
        <v>4282.2400000000007</v>
      </c>
      <c r="F69" s="250">
        <f t="shared" si="7"/>
        <v>57</v>
      </c>
      <c r="G69" s="120">
        <f t="shared" si="7"/>
        <v>1385.86</v>
      </c>
      <c r="H69" s="251">
        <f t="shared" si="7"/>
        <v>0</v>
      </c>
      <c r="I69" s="251">
        <f t="shared" si="7"/>
        <v>0</v>
      </c>
      <c r="J69" s="250">
        <f t="shared" si="7"/>
        <v>18</v>
      </c>
      <c r="K69" s="251">
        <f t="shared" si="7"/>
        <v>960.65</v>
      </c>
      <c r="L69" s="250">
        <f t="shared" si="7"/>
        <v>12</v>
      </c>
      <c r="M69" s="251">
        <f t="shared" si="7"/>
        <v>650.64</v>
      </c>
      <c r="N69" s="250">
        <f t="shared" si="7"/>
        <v>5</v>
      </c>
      <c r="O69" s="251">
        <f t="shared" si="7"/>
        <v>273.51</v>
      </c>
      <c r="P69" s="250">
        <f t="shared" si="7"/>
        <v>1</v>
      </c>
      <c r="Q69" s="251">
        <f t="shared" si="7"/>
        <v>36.5</v>
      </c>
      <c r="R69" s="250">
        <f t="shared" si="7"/>
        <v>0</v>
      </c>
      <c r="S69" s="251">
        <f t="shared" si="7"/>
        <v>0</v>
      </c>
      <c r="T69" s="252">
        <v>10</v>
      </c>
    </row>
    <row r="70" spans="1:20" ht="18.95" customHeight="1" thickBot="1" x14ac:dyDescent="0.3">
      <c r="A70" s="253"/>
      <c r="B70" s="254"/>
      <c r="C70" s="255"/>
      <c r="D70" s="254"/>
      <c r="E70" s="256"/>
      <c r="F70" s="257"/>
      <c r="G70" s="258"/>
      <c r="H70" s="259"/>
      <c r="I70" s="259"/>
      <c r="J70" s="259">
        <f>L70+N70+R70</f>
        <v>0</v>
      </c>
      <c r="K70" s="258">
        <f>M70+O70+S70</f>
        <v>0</v>
      </c>
      <c r="L70" s="259"/>
      <c r="M70" s="258"/>
      <c r="N70" s="259"/>
      <c r="O70" s="258"/>
      <c r="P70" s="258"/>
      <c r="Q70" s="258"/>
      <c r="R70" s="259"/>
      <c r="S70" s="258"/>
      <c r="T70" s="260"/>
    </row>
    <row r="71" spans="1:20" ht="18.95" customHeight="1" thickTop="1" x14ac:dyDescent="0.25">
      <c r="A71" s="129"/>
      <c r="B71" s="129"/>
      <c r="C71" s="129"/>
      <c r="D71" s="129"/>
      <c r="E71" s="261"/>
      <c r="F71" s="261"/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</row>
    <row r="72" spans="1:20" ht="18.95" customHeight="1" x14ac:dyDescent="0.2">
      <c r="A72" s="5"/>
      <c r="B72" s="5"/>
      <c r="C72" s="5"/>
      <c r="D72" s="5"/>
      <c r="E72" s="135"/>
      <c r="F72" s="135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</row>
    <row r="73" spans="1:20" ht="12.75" x14ac:dyDescent="0.2">
      <c r="H73" s="136"/>
      <c r="I73" s="136"/>
      <c r="J73" s="136"/>
      <c r="K73" s="137"/>
      <c r="L73" s="137"/>
      <c r="M73" s="137"/>
      <c r="N73" s="137"/>
      <c r="O73" s="137"/>
      <c r="P73" s="137"/>
      <c r="Q73" s="137"/>
      <c r="R73" s="137"/>
      <c r="S73" s="137"/>
      <c r="T73" s="137"/>
    </row>
  </sheetData>
  <mergeCells count="17">
    <mergeCell ref="P10:Q10"/>
    <mergeCell ref="R10:S10"/>
    <mergeCell ref="A3:T3"/>
    <mergeCell ref="A4:T4"/>
    <mergeCell ref="A8:A11"/>
    <mergeCell ref="B8:I8"/>
    <mergeCell ref="J8:S8"/>
    <mergeCell ref="T8:T11"/>
    <mergeCell ref="B9:C10"/>
    <mergeCell ref="D9:I9"/>
    <mergeCell ref="J9:K9"/>
    <mergeCell ref="L9:S9"/>
    <mergeCell ref="A16:A17"/>
    <mergeCell ref="D10:E10"/>
    <mergeCell ref="F10:G10"/>
    <mergeCell ref="L10:M10"/>
    <mergeCell ref="N10:O10"/>
  </mergeCells>
  <conditionalFormatting sqref="B68:S70 H59:I59 D66:I66 N59:T59 L66:T66 B14:S15 B23:C29 F30:S30 B61:I61 T60 L61:T61 D21:S29 B31:S58 B18:S19 B67:T67">
    <cfRule type="cellIs" dxfId="23" priority="22" stopIfTrue="1" operator="equal">
      <formula>0</formula>
    </cfRule>
  </conditionalFormatting>
  <conditionalFormatting sqref="B59:C59">
    <cfRule type="cellIs" dxfId="22" priority="21" stopIfTrue="1" operator="equal">
      <formula>0</formula>
    </cfRule>
  </conditionalFormatting>
  <conditionalFormatting sqref="D59:G59">
    <cfRule type="cellIs" dxfId="21" priority="20" stopIfTrue="1" operator="equal">
      <formula>0</formula>
    </cfRule>
  </conditionalFormatting>
  <conditionalFormatting sqref="J59:K61">
    <cfRule type="cellIs" dxfId="20" priority="19" stopIfTrue="1" operator="equal">
      <formula>0</formula>
    </cfRule>
  </conditionalFormatting>
  <conditionalFormatting sqref="L59:M59">
    <cfRule type="cellIs" dxfId="19" priority="18" stopIfTrue="1" operator="equal">
      <formula>0</formula>
    </cfRule>
  </conditionalFormatting>
  <conditionalFormatting sqref="M62:T62">
    <cfRule type="cellIs" dxfId="18" priority="17" stopIfTrue="1" operator="equal">
      <formula>0</formula>
    </cfRule>
  </conditionalFormatting>
  <conditionalFormatting sqref="B62:L62">
    <cfRule type="cellIs" dxfId="17" priority="16" stopIfTrue="1" operator="equal">
      <formula>0</formula>
    </cfRule>
  </conditionalFormatting>
  <conditionalFormatting sqref="M63:T63">
    <cfRule type="cellIs" dxfId="16" priority="15" stopIfTrue="1" operator="equal">
      <formula>0</formula>
    </cfRule>
  </conditionalFormatting>
  <conditionalFormatting sqref="B63:L63">
    <cfRule type="cellIs" dxfId="15" priority="14" stopIfTrue="1" operator="equal">
      <formula>0</formula>
    </cfRule>
  </conditionalFormatting>
  <conditionalFormatting sqref="B30:E30">
    <cfRule type="cellIs" dxfId="14" priority="13" stopIfTrue="1" operator="equal">
      <formula>0</formula>
    </cfRule>
  </conditionalFormatting>
  <conditionalFormatting sqref="H60:I60 N60:S60">
    <cfRule type="cellIs" dxfId="13" priority="12" stopIfTrue="1" operator="equal">
      <formula>0</formula>
    </cfRule>
  </conditionalFormatting>
  <conditionalFormatting sqref="B60:C60">
    <cfRule type="cellIs" dxfId="12" priority="11" stopIfTrue="1" operator="equal">
      <formula>0</formula>
    </cfRule>
  </conditionalFormatting>
  <conditionalFormatting sqref="D60:G60">
    <cfRule type="cellIs" dxfId="11" priority="10" stopIfTrue="1" operator="equal">
      <formula>0</formula>
    </cfRule>
  </conditionalFormatting>
  <conditionalFormatting sqref="L60:M60">
    <cfRule type="cellIs" dxfId="10" priority="9" stopIfTrue="1" operator="equal">
      <formula>0</formula>
    </cfRule>
  </conditionalFormatting>
  <conditionalFormatting sqref="B22:C22">
    <cfRule type="cellIs" dxfId="9" priority="8" stopIfTrue="1" operator="equal">
      <formula>0</formula>
    </cfRule>
  </conditionalFormatting>
  <conditionalFormatting sqref="M64:T64">
    <cfRule type="cellIs" dxfId="8" priority="7" stopIfTrue="1" operator="equal">
      <formula>0</formula>
    </cfRule>
  </conditionalFormatting>
  <conditionalFormatting sqref="B64:L64">
    <cfRule type="cellIs" dxfId="7" priority="6" stopIfTrue="1" operator="equal">
      <formula>0</formula>
    </cfRule>
  </conditionalFormatting>
  <conditionalFormatting sqref="B66:C66">
    <cfRule type="cellIs" dxfId="6" priority="5" stopIfTrue="1" operator="equal">
      <formula>0</formula>
    </cfRule>
  </conditionalFormatting>
  <conditionalFormatting sqref="J66:K66">
    <cfRule type="cellIs" dxfId="5" priority="4" stopIfTrue="1" operator="equal">
      <formula>0</formula>
    </cfRule>
  </conditionalFormatting>
  <conditionalFormatting sqref="B16:S17">
    <cfRule type="cellIs" dxfId="4" priority="3" stopIfTrue="1" operator="equal">
      <formula>0</formula>
    </cfRule>
  </conditionalFormatting>
  <conditionalFormatting sqref="B65:I65 L65:T65">
    <cfRule type="cellIs" dxfId="3" priority="2" stopIfTrue="1" operator="equal">
      <formula>0</formula>
    </cfRule>
  </conditionalFormatting>
  <conditionalFormatting sqref="J65:K65">
    <cfRule type="cellIs" dxfId="2" priority="1" stopIfTrue="1" operator="equal">
      <formula>0</formula>
    </cfRule>
  </conditionalFormatting>
  <printOptions horizontalCentered="1" verticalCentered="1"/>
  <pageMargins left="0" right="0" top="0.59055118110236227" bottom="0" header="0" footer="0"/>
  <pageSetup paperSize="9" scale="3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2"/>
  <sheetViews>
    <sheetView view="pageBreakPreview" zoomScale="75" zoomScaleNormal="75" workbookViewId="0">
      <pane xSplit="1" topLeftCell="X1" activePane="topRight" state="frozen"/>
      <selection activeCell="B38" sqref="B38"/>
      <selection pane="topRight" activeCell="AB37" sqref="AB37"/>
    </sheetView>
  </sheetViews>
  <sheetFormatPr defaultColWidth="9.625" defaultRowHeight="12.75" x14ac:dyDescent="0.2"/>
  <cols>
    <col min="1" max="1" width="26" style="74" customWidth="1"/>
    <col min="2" max="13" width="15.875" style="131" customWidth="1"/>
    <col min="14" max="14" width="16.5" style="131" customWidth="1"/>
    <col min="15" max="15" width="15.875" style="77" customWidth="1"/>
    <col min="16" max="26" width="15.875" style="74" customWidth="1"/>
    <col min="27" max="27" width="17.25" style="74" customWidth="1"/>
    <col min="28" max="39" width="15.875" style="74" customWidth="1"/>
    <col min="40" max="40" width="16.875" style="74" customWidth="1"/>
    <col min="41" max="256" width="9.625" style="74"/>
    <col min="257" max="257" width="26" style="74" customWidth="1"/>
    <col min="258" max="269" width="15.875" style="74" customWidth="1"/>
    <col min="270" max="270" width="16.5" style="74" customWidth="1"/>
    <col min="271" max="282" width="15.875" style="74" customWidth="1"/>
    <col min="283" max="283" width="17.25" style="74" customWidth="1"/>
    <col min="284" max="295" width="15.875" style="74" customWidth="1"/>
    <col min="296" max="296" width="16.875" style="74" customWidth="1"/>
    <col min="297" max="512" width="9.625" style="74"/>
    <col min="513" max="513" width="26" style="74" customWidth="1"/>
    <col min="514" max="525" width="15.875" style="74" customWidth="1"/>
    <col min="526" max="526" width="16.5" style="74" customWidth="1"/>
    <col min="527" max="538" width="15.875" style="74" customWidth="1"/>
    <col min="539" max="539" width="17.25" style="74" customWidth="1"/>
    <col min="540" max="551" width="15.875" style="74" customWidth="1"/>
    <col min="552" max="552" width="16.875" style="74" customWidth="1"/>
    <col min="553" max="768" width="9.625" style="74"/>
    <col min="769" max="769" width="26" style="74" customWidth="1"/>
    <col min="770" max="781" width="15.875" style="74" customWidth="1"/>
    <col min="782" max="782" width="16.5" style="74" customWidth="1"/>
    <col min="783" max="794" width="15.875" style="74" customWidth="1"/>
    <col min="795" max="795" width="17.25" style="74" customWidth="1"/>
    <col min="796" max="807" width="15.875" style="74" customWidth="1"/>
    <col min="808" max="808" width="16.875" style="74" customWidth="1"/>
    <col min="809" max="1024" width="9.625" style="74"/>
    <col min="1025" max="1025" width="26" style="74" customWidth="1"/>
    <col min="1026" max="1037" width="15.875" style="74" customWidth="1"/>
    <col min="1038" max="1038" width="16.5" style="74" customWidth="1"/>
    <col min="1039" max="1050" width="15.875" style="74" customWidth="1"/>
    <col min="1051" max="1051" width="17.25" style="74" customWidth="1"/>
    <col min="1052" max="1063" width="15.875" style="74" customWidth="1"/>
    <col min="1064" max="1064" width="16.875" style="74" customWidth="1"/>
    <col min="1065" max="1280" width="9.625" style="74"/>
    <col min="1281" max="1281" width="26" style="74" customWidth="1"/>
    <col min="1282" max="1293" width="15.875" style="74" customWidth="1"/>
    <col min="1294" max="1294" width="16.5" style="74" customWidth="1"/>
    <col min="1295" max="1306" width="15.875" style="74" customWidth="1"/>
    <col min="1307" max="1307" width="17.25" style="74" customWidth="1"/>
    <col min="1308" max="1319" width="15.875" style="74" customWidth="1"/>
    <col min="1320" max="1320" width="16.875" style="74" customWidth="1"/>
    <col min="1321" max="1536" width="9.625" style="74"/>
    <col min="1537" max="1537" width="26" style="74" customWidth="1"/>
    <col min="1538" max="1549" width="15.875" style="74" customWidth="1"/>
    <col min="1550" max="1550" width="16.5" style="74" customWidth="1"/>
    <col min="1551" max="1562" width="15.875" style="74" customWidth="1"/>
    <col min="1563" max="1563" width="17.25" style="74" customWidth="1"/>
    <col min="1564" max="1575" width="15.875" style="74" customWidth="1"/>
    <col min="1576" max="1576" width="16.875" style="74" customWidth="1"/>
    <col min="1577" max="1792" width="9.625" style="74"/>
    <col min="1793" max="1793" width="26" style="74" customWidth="1"/>
    <col min="1794" max="1805" width="15.875" style="74" customWidth="1"/>
    <col min="1806" max="1806" width="16.5" style="74" customWidth="1"/>
    <col min="1807" max="1818" width="15.875" style="74" customWidth="1"/>
    <col min="1819" max="1819" width="17.25" style="74" customWidth="1"/>
    <col min="1820" max="1831" width="15.875" style="74" customWidth="1"/>
    <col min="1832" max="1832" width="16.875" style="74" customWidth="1"/>
    <col min="1833" max="2048" width="9.625" style="74"/>
    <col min="2049" max="2049" width="26" style="74" customWidth="1"/>
    <col min="2050" max="2061" width="15.875" style="74" customWidth="1"/>
    <col min="2062" max="2062" width="16.5" style="74" customWidth="1"/>
    <col min="2063" max="2074" width="15.875" style="74" customWidth="1"/>
    <col min="2075" max="2075" width="17.25" style="74" customWidth="1"/>
    <col min="2076" max="2087" width="15.875" style="74" customWidth="1"/>
    <col min="2088" max="2088" width="16.875" style="74" customWidth="1"/>
    <col min="2089" max="2304" width="9.625" style="74"/>
    <col min="2305" max="2305" width="26" style="74" customWidth="1"/>
    <col min="2306" max="2317" width="15.875" style="74" customWidth="1"/>
    <col min="2318" max="2318" width="16.5" style="74" customWidth="1"/>
    <col min="2319" max="2330" width="15.875" style="74" customWidth="1"/>
    <col min="2331" max="2331" width="17.25" style="74" customWidth="1"/>
    <col min="2332" max="2343" width="15.875" style="74" customWidth="1"/>
    <col min="2344" max="2344" width="16.875" style="74" customWidth="1"/>
    <col min="2345" max="2560" width="9.625" style="74"/>
    <col min="2561" max="2561" width="26" style="74" customWidth="1"/>
    <col min="2562" max="2573" width="15.875" style="74" customWidth="1"/>
    <col min="2574" max="2574" width="16.5" style="74" customWidth="1"/>
    <col min="2575" max="2586" width="15.875" style="74" customWidth="1"/>
    <col min="2587" max="2587" width="17.25" style="74" customWidth="1"/>
    <col min="2588" max="2599" width="15.875" style="74" customWidth="1"/>
    <col min="2600" max="2600" width="16.875" style="74" customWidth="1"/>
    <col min="2601" max="2816" width="9.625" style="74"/>
    <col min="2817" max="2817" width="26" style="74" customWidth="1"/>
    <col min="2818" max="2829" width="15.875" style="74" customWidth="1"/>
    <col min="2830" max="2830" width="16.5" style="74" customWidth="1"/>
    <col min="2831" max="2842" width="15.875" style="74" customWidth="1"/>
    <col min="2843" max="2843" width="17.25" style="74" customWidth="1"/>
    <col min="2844" max="2855" width="15.875" style="74" customWidth="1"/>
    <col min="2856" max="2856" width="16.875" style="74" customWidth="1"/>
    <col min="2857" max="3072" width="9.625" style="74"/>
    <col min="3073" max="3073" width="26" style="74" customWidth="1"/>
    <col min="3074" max="3085" width="15.875" style="74" customWidth="1"/>
    <col min="3086" max="3086" width="16.5" style="74" customWidth="1"/>
    <col min="3087" max="3098" width="15.875" style="74" customWidth="1"/>
    <col min="3099" max="3099" width="17.25" style="74" customWidth="1"/>
    <col min="3100" max="3111" width="15.875" style="74" customWidth="1"/>
    <col min="3112" max="3112" width="16.875" style="74" customWidth="1"/>
    <col min="3113" max="3328" width="9.625" style="74"/>
    <col min="3329" max="3329" width="26" style="74" customWidth="1"/>
    <col min="3330" max="3341" width="15.875" style="74" customWidth="1"/>
    <col min="3342" max="3342" width="16.5" style="74" customWidth="1"/>
    <col min="3343" max="3354" width="15.875" style="74" customWidth="1"/>
    <col min="3355" max="3355" width="17.25" style="74" customWidth="1"/>
    <col min="3356" max="3367" width="15.875" style="74" customWidth="1"/>
    <col min="3368" max="3368" width="16.875" style="74" customWidth="1"/>
    <col min="3369" max="3584" width="9.625" style="74"/>
    <col min="3585" max="3585" width="26" style="74" customWidth="1"/>
    <col min="3586" max="3597" width="15.875" style="74" customWidth="1"/>
    <col min="3598" max="3598" width="16.5" style="74" customWidth="1"/>
    <col min="3599" max="3610" width="15.875" style="74" customWidth="1"/>
    <col min="3611" max="3611" width="17.25" style="74" customWidth="1"/>
    <col min="3612" max="3623" width="15.875" style="74" customWidth="1"/>
    <col min="3624" max="3624" width="16.875" style="74" customWidth="1"/>
    <col min="3625" max="3840" width="9.625" style="74"/>
    <col min="3841" max="3841" width="26" style="74" customWidth="1"/>
    <col min="3842" max="3853" width="15.875" style="74" customWidth="1"/>
    <col min="3854" max="3854" width="16.5" style="74" customWidth="1"/>
    <col min="3855" max="3866" width="15.875" style="74" customWidth="1"/>
    <col min="3867" max="3867" width="17.25" style="74" customWidth="1"/>
    <col min="3868" max="3879" width="15.875" style="74" customWidth="1"/>
    <col min="3880" max="3880" width="16.875" style="74" customWidth="1"/>
    <col min="3881" max="4096" width="9.625" style="74"/>
    <col min="4097" max="4097" width="26" style="74" customWidth="1"/>
    <col min="4098" max="4109" width="15.875" style="74" customWidth="1"/>
    <col min="4110" max="4110" width="16.5" style="74" customWidth="1"/>
    <col min="4111" max="4122" width="15.875" style="74" customWidth="1"/>
    <col min="4123" max="4123" width="17.25" style="74" customWidth="1"/>
    <col min="4124" max="4135" width="15.875" style="74" customWidth="1"/>
    <col min="4136" max="4136" width="16.875" style="74" customWidth="1"/>
    <col min="4137" max="4352" width="9.625" style="74"/>
    <col min="4353" max="4353" width="26" style="74" customWidth="1"/>
    <col min="4354" max="4365" width="15.875" style="74" customWidth="1"/>
    <col min="4366" max="4366" width="16.5" style="74" customWidth="1"/>
    <col min="4367" max="4378" width="15.875" style="74" customWidth="1"/>
    <col min="4379" max="4379" width="17.25" style="74" customWidth="1"/>
    <col min="4380" max="4391" width="15.875" style="74" customWidth="1"/>
    <col min="4392" max="4392" width="16.875" style="74" customWidth="1"/>
    <col min="4393" max="4608" width="9.625" style="74"/>
    <col min="4609" max="4609" width="26" style="74" customWidth="1"/>
    <col min="4610" max="4621" width="15.875" style="74" customWidth="1"/>
    <col min="4622" max="4622" width="16.5" style="74" customWidth="1"/>
    <col min="4623" max="4634" width="15.875" style="74" customWidth="1"/>
    <col min="4635" max="4635" width="17.25" style="74" customWidth="1"/>
    <col min="4636" max="4647" width="15.875" style="74" customWidth="1"/>
    <col min="4648" max="4648" width="16.875" style="74" customWidth="1"/>
    <col min="4649" max="4864" width="9.625" style="74"/>
    <col min="4865" max="4865" width="26" style="74" customWidth="1"/>
    <col min="4866" max="4877" width="15.875" style="74" customWidth="1"/>
    <col min="4878" max="4878" width="16.5" style="74" customWidth="1"/>
    <col min="4879" max="4890" width="15.875" style="74" customWidth="1"/>
    <col min="4891" max="4891" width="17.25" style="74" customWidth="1"/>
    <col min="4892" max="4903" width="15.875" style="74" customWidth="1"/>
    <col min="4904" max="4904" width="16.875" style="74" customWidth="1"/>
    <col min="4905" max="5120" width="9.625" style="74"/>
    <col min="5121" max="5121" width="26" style="74" customWidth="1"/>
    <col min="5122" max="5133" width="15.875" style="74" customWidth="1"/>
    <col min="5134" max="5134" width="16.5" style="74" customWidth="1"/>
    <col min="5135" max="5146" width="15.875" style="74" customWidth="1"/>
    <col min="5147" max="5147" width="17.25" style="74" customWidth="1"/>
    <col min="5148" max="5159" width="15.875" style="74" customWidth="1"/>
    <col min="5160" max="5160" width="16.875" style="74" customWidth="1"/>
    <col min="5161" max="5376" width="9.625" style="74"/>
    <col min="5377" max="5377" width="26" style="74" customWidth="1"/>
    <col min="5378" max="5389" width="15.875" style="74" customWidth="1"/>
    <col min="5390" max="5390" width="16.5" style="74" customWidth="1"/>
    <col min="5391" max="5402" width="15.875" style="74" customWidth="1"/>
    <col min="5403" max="5403" width="17.25" style="74" customWidth="1"/>
    <col min="5404" max="5415" width="15.875" style="74" customWidth="1"/>
    <col min="5416" max="5416" width="16.875" style="74" customWidth="1"/>
    <col min="5417" max="5632" width="9.625" style="74"/>
    <col min="5633" max="5633" width="26" style="74" customWidth="1"/>
    <col min="5634" max="5645" width="15.875" style="74" customWidth="1"/>
    <col min="5646" max="5646" width="16.5" style="74" customWidth="1"/>
    <col min="5647" max="5658" width="15.875" style="74" customWidth="1"/>
    <col min="5659" max="5659" width="17.25" style="74" customWidth="1"/>
    <col min="5660" max="5671" width="15.875" style="74" customWidth="1"/>
    <col min="5672" max="5672" width="16.875" style="74" customWidth="1"/>
    <col min="5673" max="5888" width="9.625" style="74"/>
    <col min="5889" max="5889" width="26" style="74" customWidth="1"/>
    <col min="5890" max="5901" width="15.875" style="74" customWidth="1"/>
    <col min="5902" max="5902" width="16.5" style="74" customWidth="1"/>
    <col min="5903" max="5914" width="15.875" style="74" customWidth="1"/>
    <col min="5915" max="5915" width="17.25" style="74" customWidth="1"/>
    <col min="5916" max="5927" width="15.875" style="74" customWidth="1"/>
    <col min="5928" max="5928" width="16.875" style="74" customWidth="1"/>
    <col min="5929" max="6144" width="9.625" style="74"/>
    <col min="6145" max="6145" width="26" style="74" customWidth="1"/>
    <col min="6146" max="6157" width="15.875" style="74" customWidth="1"/>
    <col min="6158" max="6158" width="16.5" style="74" customWidth="1"/>
    <col min="6159" max="6170" width="15.875" style="74" customWidth="1"/>
    <col min="6171" max="6171" width="17.25" style="74" customWidth="1"/>
    <col min="6172" max="6183" width="15.875" style="74" customWidth="1"/>
    <col min="6184" max="6184" width="16.875" style="74" customWidth="1"/>
    <col min="6185" max="6400" width="9.625" style="74"/>
    <col min="6401" max="6401" width="26" style="74" customWidth="1"/>
    <col min="6402" max="6413" width="15.875" style="74" customWidth="1"/>
    <col min="6414" max="6414" width="16.5" style="74" customWidth="1"/>
    <col min="6415" max="6426" width="15.875" style="74" customWidth="1"/>
    <col min="6427" max="6427" width="17.25" style="74" customWidth="1"/>
    <col min="6428" max="6439" width="15.875" style="74" customWidth="1"/>
    <col min="6440" max="6440" width="16.875" style="74" customWidth="1"/>
    <col min="6441" max="6656" width="9.625" style="74"/>
    <col min="6657" max="6657" width="26" style="74" customWidth="1"/>
    <col min="6658" max="6669" width="15.875" style="74" customWidth="1"/>
    <col min="6670" max="6670" width="16.5" style="74" customWidth="1"/>
    <col min="6671" max="6682" width="15.875" style="74" customWidth="1"/>
    <col min="6683" max="6683" width="17.25" style="74" customWidth="1"/>
    <col min="6684" max="6695" width="15.875" style="74" customWidth="1"/>
    <col min="6696" max="6696" width="16.875" style="74" customWidth="1"/>
    <col min="6697" max="6912" width="9.625" style="74"/>
    <col min="6913" max="6913" width="26" style="74" customWidth="1"/>
    <col min="6914" max="6925" width="15.875" style="74" customWidth="1"/>
    <col min="6926" max="6926" width="16.5" style="74" customWidth="1"/>
    <col min="6927" max="6938" width="15.875" style="74" customWidth="1"/>
    <col min="6939" max="6939" width="17.25" style="74" customWidth="1"/>
    <col min="6940" max="6951" width="15.875" style="74" customWidth="1"/>
    <col min="6952" max="6952" width="16.875" style="74" customWidth="1"/>
    <col min="6953" max="7168" width="9.625" style="74"/>
    <col min="7169" max="7169" width="26" style="74" customWidth="1"/>
    <col min="7170" max="7181" width="15.875" style="74" customWidth="1"/>
    <col min="7182" max="7182" width="16.5" style="74" customWidth="1"/>
    <col min="7183" max="7194" width="15.875" style="74" customWidth="1"/>
    <col min="7195" max="7195" width="17.25" style="74" customWidth="1"/>
    <col min="7196" max="7207" width="15.875" style="74" customWidth="1"/>
    <col min="7208" max="7208" width="16.875" style="74" customWidth="1"/>
    <col min="7209" max="7424" width="9.625" style="74"/>
    <col min="7425" max="7425" width="26" style="74" customWidth="1"/>
    <col min="7426" max="7437" width="15.875" style="74" customWidth="1"/>
    <col min="7438" max="7438" width="16.5" style="74" customWidth="1"/>
    <col min="7439" max="7450" width="15.875" style="74" customWidth="1"/>
    <col min="7451" max="7451" width="17.25" style="74" customWidth="1"/>
    <col min="7452" max="7463" width="15.875" style="74" customWidth="1"/>
    <col min="7464" max="7464" width="16.875" style="74" customWidth="1"/>
    <col min="7465" max="7680" width="9.625" style="74"/>
    <col min="7681" max="7681" width="26" style="74" customWidth="1"/>
    <col min="7682" max="7693" width="15.875" style="74" customWidth="1"/>
    <col min="7694" max="7694" width="16.5" style="74" customWidth="1"/>
    <col min="7695" max="7706" width="15.875" style="74" customWidth="1"/>
    <col min="7707" max="7707" width="17.25" style="74" customWidth="1"/>
    <col min="7708" max="7719" width="15.875" style="74" customWidth="1"/>
    <col min="7720" max="7720" width="16.875" style="74" customWidth="1"/>
    <col min="7721" max="7936" width="9.625" style="74"/>
    <col min="7937" max="7937" width="26" style="74" customWidth="1"/>
    <col min="7938" max="7949" width="15.875" style="74" customWidth="1"/>
    <col min="7950" max="7950" width="16.5" style="74" customWidth="1"/>
    <col min="7951" max="7962" width="15.875" style="74" customWidth="1"/>
    <col min="7963" max="7963" width="17.25" style="74" customWidth="1"/>
    <col min="7964" max="7975" width="15.875" style="74" customWidth="1"/>
    <col min="7976" max="7976" width="16.875" style="74" customWidth="1"/>
    <col min="7977" max="8192" width="9.625" style="74"/>
    <col min="8193" max="8193" width="26" style="74" customWidth="1"/>
    <col min="8194" max="8205" width="15.875" style="74" customWidth="1"/>
    <col min="8206" max="8206" width="16.5" style="74" customWidth="1"/>
    <col min="8207" max="8218" width="15.875" style="74" customWidth="1"/>
    <col min="8219" max="8219" width="17.25" style="74" customWidth="1"/>
    <col min="8220" max="8231" width="15.875" style="74" customWidth="1"/>
    <col min="8232" max="8232" width="16.875" style="74" customWidth="1"/>
    <col min="8233" max="8448" width="9.625" style="74"/>
    <col min="8449" max="8449" width="26" style="74" customWidth="1"/>
    <col min="8450" max="8461" width="15.875" style="74" customWidth="1"/>
    <col min="8462" max="8462" width="16.5" style="74" customWidth="1"/>
    <col min="8463" max="8474" width="15.875" style="74" customWidth="1"/>
    <col min="8475" max="8475" width="17.25" style="74" customWidth="1"/>
    <col min="8476" max="8487" width="15.875" style="74" customWidth="1"/>
    <col min="8488" max="8488" width="16.875" style="74" customWidth="1"/>
    <col min="8489" max="8704" width="9.625" style="74"/>
    <col min="8705" max="8705" width="26" style="74" customWidth="1"/>
    <col min="8706" max="8717" width="15.875" style="74" customWidth="1"/>
    <col min="8718" max="8718" width="16.5" style="74" customWidth="1"/>
    <col min="8719" max="8730" width="15.875" style="74" customWidth="1"/>
    <col min="8731" max="8731" width="17.25" style="74" customWidth="1"/>
    <col min="8732" max="8743" width="15.875" style="74" customWidth="1"/>
    <col min="8744" max="8744" width="16.875" style="74" customWidth="1"/>
    <col min="8745" max="8960" width="9.625" style="74"/>
    <col min="8961" max="8961" width="26" style="74" customWidth="1"/>
    <col min="8962" max="8973" width="15.875" style="74" customWidth="1"/>
    <col min="8974" max="8974" width="16.5" style="74" customWidth="1"/>
    <col min="8975" max="8986" width="15.875" style="74" customWidth="1"/>
    <col min="8987" max="8987" width="17.25" style="74" customWidth="1"/>
    <col min="8988" max="8999" width="15.875" style="74" customWidth="1"/>
    <col min="9000" max="9000" width="16.875" style="74" customWidth="1"/>
    <col min="9001" max="9216" width="9.625" style="74"/>
    <col min="9217" max="9217" width="26" style="74" customWidth="1"/>
    <col min="9218" max="9229" width="15.875" style="74" customWidth="1"/>
    <col min="9230" max="9230" width="16.5" style="74" customWidth="1"/>
    <col min="9231" max="9242" width="15.875" style="74" customWidth="1"/>
    <col min="9243" max="9243" width="17.25" style="74" customWidth="1"/>
    <col min="9244" max="9255" width="15.875" style="74" customWidth="1"/>
    <col min="9256" max="9256" width="16.875" style="74" customWidth="1"/>
    <col min="9257" max="9472" width="9.625" style="74"/>
    <col min="9473" max="9473" width="26" style="74" customWidth="1"/>
    <col min="9474" max="9485" width="15.875" style="74" customWidth="1"/>
    <col min="9486" max="9486" width="16.5" style="74" customWidth="1"/>
    <col min="9487" max="9498" width="15.875" style="74" customWidth="1"/>
    <col min="9499" max="9499" width="17.25" style="74" customWidth="1"/>
    <col min="9500" max="9511" width="15.875" style="74" customWidth="1"/>
    <col min="9512" max="9512" width="16.875" style="74" customWidth="1"/>
    <col min="9513" max="9728" width="9.625" style="74"/>
    <col min="9729" max="9729" width="26" style="74" customWidth="1"/>
    <col min="9730" max="9741" width="15.875" style="74" customWidth="1"/>
    <col min="9742" max="9742" width="16.5" style="74" customWidth="1"/>
    <col min="9743" max="9754" width="15.875" style="74" customWidth="1"/>
    <col min="9755" max="9755" width="17.25" style="74" customWidth="1"/>
    <col min="9756" max="9767" width="15.875" style="74" customWidth="1"/>
    <col min="9768" max="9768" width="16.875" style="74" customWidth="1"/>
    <col min="9769" max="9984" width="9.625" style="74"/>
    <col min="9985" max="9985" width="26" style="74" customWidth="1"/>
    <col min="9986" max="9997" width="15.875" style="74" customWidth="1"/>
    <col min="9998" max="9998" width="16.5" style="74" customWidth="1"/>
    <col min="9999" max="10010" width="15.875" style="74" customWidth="1"/>
    <col min="10011" max="10011" width="17.25" style="74" customWidth="1"/>
    <col min="10012" max="10023" width="15.875" style="74" customWidth="1"/>
    <col min="10024" max="10024" width="16.875" style="74" customWidth="1"/>
    <col min="10025" max="10240" width="9.625" style="74"/>
    <col min="10241" max="10241" width="26" style="74" customWidth="1"/>
    <col min="10242" max="10253" width="15.875" style="74" customWidth="1"/>
    <col min="10254" max="10254" width="16.5" style="74" customWidth="1"/>
    <col min="10255" max="10266" width="15.875" style="74" customWidth="1"/>
    <col min="10267" max="10267" width="17.25" style="74" customWidth="1"/>
    <col min="10268" max="10279" width="15.875" style="74" customWidth="1"/>
    <col min="10280" max="10280" width="16.875" style="74" customWidth="1"/>
    <col min="10281" max="10496" width="9.625" style="74"/>
    <col min="10497" max="10497" width="26" style="74" customWidth="1"/>
    <col min="10498" max="10509" width="15.875" style="74" customWidth="1"/>
    <col min="10510" max="10510" width="16.5" style="74" customWidth="1"/>
    <col min="10511" max="10522" width="15.875" style="74" customWidth="1"/>
    <col min="10523" max="10523" width="17.25" style="74" customWidth="1"/>
    <col min="10524" max="10535" width="15.875" style="74" customWidth="1"/>
    <col min="10536" max="10536" width="16.875" style="74" customWidth="1"/>
    <col min="10537" max="10752" width="9.625" style="74"/>
    <col min="10753" max="10753" width="26" style="74" customWidth="1"/>
    <col min="10754" max="10765" width="15.875" style="74" customWidth="1"/>
    <col min="10766" max="10766" width="16.5" style="74" customWidth="1"/>
    <col min="10767" max="10778" width="15.875" style="74" customWidth="1"/>
    <col min="10779" max="10779" width="17.25" style="74" customWidth="1"/>
    <col min="10780" max="10791" width="15.875" style="74" customWidth="1"/>
    <col min="10792" max="10792" width="16.875" style="74" customWidth="1"/>
    <col min="10793" max="11008" width="9.625" style="74"/>
    <col min="11009" max="11009" width="26" style="74" customWidth="1"/>
    <col min="11010" max="11021" width="15.875" style="74" customWidth="1"/>
    <col min="11022" max="11022" width="16.5" style="74" customWidth="1"/>
    <col min="11023" max="11034" width="15.875" style="74" customWidth="1"/>
    <col min="11035" max="11035" width="17.25" style="74" customWidth="1"/>
    <col min="11036" max="11047" width="15.875" style="74" customWidth="1"/>
    <col min="11048" max="11048" width="16.875" style="74" customWidth="1"/>
    <col min="11049" max="11264" width="9.625" style="74"/>
    <col min="11265" max="11265" width="26" style="74" customWidth="1"/>
    <col min="11266" max="11277" width="15.875" style="74" customWidth="1"/>
    <col min="11278" max="11278" width="16.5" style="74" customWidth="1"/>
    <col min="11279" max="11290" width="15.875" style="74" customWidth="1"/>
    <col min="11291" max="11291" width="17.25" style="74" customWidth="1"/>
    <col min="11292" max="11303" width="15.875" style="74" customWidth="1"/>
    <col min="11304" max="11304" width="16.875" style="74" customWidth="1"/>
    <col min="11305" max="11520" width="9.625" style="74"/>
    <col min="11521" max="11521" width="26" style="74" customWidth="1"/>
    <col min="11522" max="11533" width="15.875" style="74" customWidth="1"/>
    <col min="11534" max="11534" width="16.5" style="74" customWidth="1"/>
    <col min="11535" max="11546" width="15.875" style="74" customWidth="1"/>
    <col min="11547" max="11547" width="17.25" style="74" customWidth="1"/>
    <col min="11548" max="11559" width="15.875" style="74" customWidth="1"/>
    <col min="11560" max="11560" width="16.875" style="74" customWidth="1"/>
    <col min="11561" max="11776" width="9.625" style="74"/>
    <col min="11777" max="11777" width="26" style="74" customWidth="1"/>
    <col min="11778" max="11789" width="15.875" style="74" customWidth="1"/>
    <col min="11790" max="11790" width="16.5" style="74" customWidth="1"/>
    <col min="11791" max="11802" width="15.875" style="74" customWidth="1"/>
    <col min="11803" max="11803" width="17.25" style="74" customWidth="1"/>
    <col min="11804" max="11815" width="15.875" style="74" customWidth="1"/>
    <col min="11816" max="11816" width="16.875" style="74" customWidth="1"/>
    <col min="11817" max="12032" width="9.625" style="74"/>
    <col min="12033" max="12033" width="26" style="74" customWidth="1"/>
    <col min="12034" max="12045" width="15.875" style="74" customWidth="1"/>
    <col min="12046" max="12046" width="16.5" style="74" customWidth="1"/>
    <col min="12047" max="12058" width="15.875" style="74" customWidth="1"/>
    <col min="12059" max="12059" width="17.25" style="74" customWidth="1"/>
    <col min="12060" max="12071" width="15.875" style="74" customWidth="1"/>
    <col min="12072" max="12072" width="16.875" style="74" customWidth="1"/>
    <col min="12073" max="12288" width="9.625" style="74"/>
    <col min="12289" max="12289" width="26" style="74" customWidth="1"/>
    <col min="12290" max="12301" width="15.875" style="74" customWidth="1"/>
    <col min="12302" max="12302" width="16.5" style="74" customWidth="1"/>
    <col min="12303" max="12314" width="15.875" style="74" customWidth="1"/>
    <col min="12315" max="12315" width="17.25" style="74" customWidth="1"/>
    <col min="12316" max="12327" width="15.875" style="74" customWidth="1"/>
    <col min="12328" max="12328" width="16.875" style="74" customWidth="1"/>
    <col min="12329" max="12544" width="9.625" style="74"/>
    <col min="12545" max="12545" width="26" style="74" customWidth="1"/>
    <col min="12546" max="12557" width="15.875" style="74" customWidth="1"/>
    <col min="12558" max="12558" width="16.5" style="74" customWidth="1"/>
    <col min="12559" max="12570" width="15.875" style="74" customWidth="1"/>
    <col min="12571" max="12571" width="17.25" style="74" customWidth="1"/>
    <col min="12572" max="12583" width="15.875" style="74" customWidth="1"/>
    <col min="12584" max="12584" width="16.875" style="74" customWidth="1"/>
    <col min="12585" max="12800" width="9.625" style="74"/>
    <col min="12801" max="12801" width="26" style="74" customWidth="1"/>
    <col min="12802" max="12813" width="15.875" style="74" customWidth="1"/>
    <col min="12814" max="12814" width="16.5" style="74" customWidth="1"/>
    <col min="12815" max="12826" width="15.875" style="74" customWidth="1"/>
    <col min="12827" max="12827" width="17.25" style="74" customWidth="1"/>
    <col min="12828" max="12839" width="15.875" style="74" customWidth="1"/>
    <col min="12840" max="12840" width="16.875" style="74" customWidth="1"/>
    <col min="12841" max="13056" width="9.625" style="74"/>
    <col min="13057" max="13057" width="26" style="74" customWidth="1"/>
    <col min="13058" max="13069" width="15.875" style="74" customWidth="1"/>
    <col min="13070" max="13070" width="16.5" style="74" customWidth="1"/>
    <col min="13071" max="13082" width="15.875" style="74" customWidth="1"/>
    <col min="13083" max="13083" width="17.25" style="74" customWidth="1"/>
    <col min="13084" max="13095" width="15.875" style="74" customWidth="1"/>
    <col min="13096" max="13096" width="16.875" style="74" customWidth="1"/>
    <col min="13097" max="13312" width="9.625" style="74"/>
    <col min="13313" max="13313" width="26" style="74" customWidth="1"/>
    <col min="13314" max="13325" width="15.875" style="74" customWidth="1"/>
    <col min="13326" max="13326" width="16.5" style="74" customWidth="1"/>
    <col min="13327" max="13338" width="15.875" style="74" customWidth="1"/>
    <col min="13339" max="13339" width="17.25" style="74" customWidth="1"/>
    <col min="13340" max="13351" width="15.875" style="74" customWidth="1"/>
    <col min="13352" max="13352" width="16.875" style="74" customWidth="1"/>
    <col min="13353" max="13568" width="9.625" style="74"/>
    <col min="13569" max="13569" width="26" style="74" customWidth="1"/>
    <col min="13570" max="13581" width="15.875" style="74" customWidth="1"/>
    <col min="13582" max="13582" width="16.5" style="74" customWidth="1"/>
    <col min="13583" max="13594" width="15.875" style="74" customWidth="1"/>
    <col min="13595" max="13595" width="17.25" style="74" customWidth="1"/>
    <col min="13596" max="13607" width="15.875" style="74" customWidth="1"/>
    <col min="13608" max="13608" width="16.875" style="74" customWidth="1"/>
    <col min="13609" max="13824" width="9.625" style="74"/>
    <col min="13825" max="13825" width="26" style="74" customWidth="1"/>
    <col min="13826" max="13837" width="15.875" style="74" customWidth="1"/>
    <col min="13838" max="13838" width="16.5" style="74" customWidth="1"/>
    <col min="13839" max="13850" width="15.875" style="74" customWidth="1"/>
    <col min="13851" max="13851" width="17.25" style="74" customWidth="1"/>
    <col min="13852" max="13863" width="15.875" style="74" customWidth="1"/>
    <col min="13864" max="13864" width="16.875" style="74" customWidth="1"/>
    <col min="13865" max="14080" width="9.625" style="74"/>
    <col min="14081" max="14081" width="26" style="74" customWidth="1"/>
    <col min="14082" max="14093" width="15.875" style="74" customWidth="1"/>
    <col min="14094" max="14094" width="16.5" style="74" customWidth="1"/>
    <col min="14095" max="14106" width="15.875" style="74" customWidth="1"/>
    <col min="14107" max="14107" width="17.25" style="74" customWidth="1"/>
    <col min="14108" max="14119" width="15.875" style="74" customWidth="1"/>
    <col min="14120" max="14120" width="16.875" style="74" customWidth="1"/>
    <col min="14121" max="14336" width="9.625" style="74"/>
    <col min="14337" max="14337" width="26" style="74" customWidth="1"/>
    <col min="14338" max="14349" width="15.875" style="74" customWidth="1"/>
    <col min="14350" max="14350" width="16.5" style="74" customWidth="1"/>
    <col min="14351" max="14362" width="15.875" style="74" customWidth="1"/>
    <col min="14363" max="14363" width="17.25" style="74" customWidth="1"/>
    <col min="14364" max="14375" width="15.875" style="74" customWidth="1"/>
    <col min="14376" max="14376" width="16.875" style="74" customWidth="1"/>
    <col min="14377" max="14592" width="9.625" style="74"/>
    <col min="14593" max="14593" width="26" style="74" customWidth="1"/>
    <col min="14594" max="14605" width="15.875" style="74" customWidth="1"/>
    <col min="14606" max="14606" width="16.5" style="74" customWidth="1"/>
    <col min="14607" max="14618" width="15.875" style="74" customWidth="1"/>
    <col min="14619" max="14619" width="17.25" style="74" customWidth="1"/>
    <col min="14620" max="14631" width="15.875" style="74" customWidth="1"/>
    <col min="14632" max="14632" width="16.875" style="74" customWidth="1"/>
    <col min="14633" max="14848" width="9.625" style="74"/>
    <col min="14849" max="14849" width="26" style="74" customWidth="1"/>
    <col min="14850" max="14861" width="15.875" style="74" customWidth="1"/>
    <col min="14862" max="14862" width="16.5" style="74" customWidth="1"/>
    <col min="14863" max="14874" width="15.875" style="74" customWidth="1"/>
    <col min="14875" max="14875" width="17.25" style="74" customWidth="1"/>
    <col min="14876" max="14887" width="15.875" style="74" customWidth="1"/>
    <col min="14888" max="14888" width="16.875" style="74" customWidth="1"/>
    <col min="14889" max="15104" width="9.625" style="74"/>
    <col min="15105" max="15105" width="26" style="74" customWidth="1"/>
    <col min="15106" max="15117" width="15.875" style="74" customWidth="1"/>
    <col min="15118" max="15118" width="16.5" style="74" customWidth="1"/>
    <col min="15119" max="15130" width="15.875" style="74" customWidth="1"/>
    <col min="15131" max="15131" width="17.25" style="74" customWidth="1"/>
    <col min="15132" max="15143" width="15.875" style="74" customWidth="1"/>
    <col min="15144" max="15144" width="16.875" style="74" customWidth="1"/>
    <col min="15145" max="15360" width="9.625" style="74"/>
    <col min="15361" max="15361" width="26" style="74" customWidth="1"/>
    <col min="15362" max="15373" width="15.875" style="74" customWidth="1"/>
    <col min="15374" max="15374" width="16.5" style="74" customWidth="1"/>
    <col min="15375" max="15386" width="15.875" style="74" customWidth="1"/>
    <col min="15387" max="15387" width="17.25" style="74" customWidth="1"/>
    <col min="15388" max="15399" width="15.875" style="74" customWidth="1"/>
    <col min="15400" max="15400" width="16.875" style="74" customWidth="1"/>
    <col min="15401" max="15616" width="9.625" style="74"/>
    <col min="15617" max="15617" width="26" style="74" customWidth="1"/>
    <col min="15618" max="15629" width="15.875" style="74" customWidth="1"/>
    <col min="15630" max="15630" width="16.5" style="74" customWidth="1"/>
    <col min="15631" max="15642" width="15.875" style="74" customWidth="1"/>
    <col min="15643" max="15643" width="17.25" style="74" customWidth="1"/>
    <col min="15644" max="15655" width="15.875" style="74" customWidth="1"/>
    <col min="15656" max="15656" width="16.875" style="74" customWidth="1"/>
    <col min="15657" max="15872" width="9.625" style="74"/>
    <col min="15873" max="15873" width="26" style="74" customWidth="1"/>
    <col min="15874" max="15885" width="15.875" style="74" customWidth="1"/>
    <col min="15886" max="15886" width="16.5" style="74" customWidth="1"/>
    <col min="15887" max="15898" width="15.875" style="74" customWidth="1"/>
    <col min="15899" max="15899" width="17.25" style="74" customWidth="1"/>
    <col min="15900" max="15911" width="15.875" style="74" customWidth="1"/>
    <col min="15912" max="15912" width="16.875" style="74" customWidth="1"/>
    <col min="15913" max="16128" width="9.625" style="74"/>
    <col min="16129" max="16129" width="26" style="74" customWidth="1"/>
    <col min="16130" max="16141" width="15.875" style="74" customWidth="1"/>
    <col min="16142" max="16142" width="16.5" style="74" customWidth="1"/>
    <col min="16143" max="16154" width="15.875" style="74" customWidth="1"/>
    <col min="16155" max="16155" width="17.25" style="74" customWidth="1"/>
    <col min="16156" max="16167" width="15.875" style="74" customWidth="1"/>
    <col min="16168" max="16168" width="16.875" style="74" customWidth="1"/>
    <col min="16169" max="16384" width="9.625" style="74"/>
  </cols>
  <sheetData>
    <row r="1" spans="1:43" ht="30" customHeight="1" x14ac:dyDescent="0.3">
      <c r="A1" s="265"/>
      <c r="B1" s="266"/>
      <c r="C1" s="266"/>
      <c r="D1" s="266"/>
      <c r="E1" s="267"/>
      <c r="F1" s="265"/>
      <c r="G1" s="265"/>
      <c r="H1" s="265"/>
      <c r="I1" s="74"/>
      <c r="J1" s="268"/>
      <c r="K1" s="268"/>
      <c r="L1" s="268"/>
      <c r="M1" s="268"/>
      <c r="N1" s="268"/>
      <c r="O1" s="265"/>
      <c r="P1" s="266"/>
      <c r="Q1" s="266"/>
      <c r="R1" s="266"/>
      <c r="S1" s="267"/>
      <c r="T1" s="265"/>
      <c r="U1" s="265"/>
      <c r="V1" s="265"/>
      <c r="W1" s="268"/>
      <c r="Y1" s="268"/>
      <c r="Z1" s="268"/>
      <c r="AA1" s="269"/>
      <c r="AB1" s="265"/>
      <c r="AC1" s="266"/>
      <c r="AD1" s="266"/>
      <c r="AE1" s="266"/>
      <c r="AF1" s="267"/>
      <c r="AG1" s="265"/>
      <c r="AH1" s="265"/>
      <c r="AI1" s="265"/>
      <c r="AK1" s="560" t="s">
        <v>218</v>
      </c>
      <c r="AL1" s="560"/>
      <c r="AM1" s="560"/>
      <c r="AN1" s="560"/>
      <c r="AO1" s="268"/>
    </row>
    <row r="2" spans="1:43" ht="44.25" customHeight="1" x14ac:dyDescent="0.3">
      <c r="A2" s="270"/>
      <c r="B2" s="266"/>
      <c r="C2" s="266"/>
      <c r="D2" s="266"/>
      <c r="E2" s="267"/>
      <c r="F2" s="265"/>
      <c r="G2" s="265"/>
      <c r="H2" s="265"/>
      <c r="I2" s="74"/>
      <c r="J2" s="561"/>
      <c r="K2" s="561"/>
      <c r="L2" s="561"/>
      <c r="M2" s="561"/>
      <c r="N2" s="561"/>
      <c r="O2" s="270"/>
      <c r="P2" s="266"/>
      <c r="Q2" s="266"/>
      <c r="R2" s="266"/>
      <c r="S2" s="267"/>
      <c r="T2" s="265"/>
      <c r="U2" s="265"/>
      <c r="V2" s="265"/>
      <c r="W2" s="562"/>
      <c r="X2" s="562"/>
      <c r="Y2" s="562"/>
      <c r="Z2" s="562"/>
      <c r="AA2" s="562"/>
      <c r="AB2" s="270"/>
      <c r="AC2" s="266"/>
      <c r="AD2" s="266"/>
      <c r="AE2" s="266"/>
      <c r="AF2" s="267"/>
      <c r="AG2" s="265"/>
      <c r="AH2" s="265"/>
      <c r="AI2" s="265"/>
      <c r="AJ2" s="271"/>
      <c r="AK2" s="563" t="s">
        <v>1</v>
      </c>
      <c r="AL2" s="563"/>
      <c r="AM2" s="563"/>
      <c r="AN2" s="563"/>
      <c r="AO2" s="271"/>
    </row>
    <row r="3" spans="1:43" ht="33" customHeight="1" x14ac:dyDescent="0.3">
      <c r="A3" s="265"/>
      <c r="B3" s="266"/>
      <c r="C3" s="266"/>
      <c r="D3" s="266"/>
      <c r="E3" s="267"/>
      <c r="F3" s="265"/>
      <c r="G3" s="265"/>
      <c r="H3" s="265"/>
      <c r="I3" s="74"/>
      <c r="J3" s="268"/>
      <c r="K3" s="268"/>
      <c r="L3" s="268"/>
      <c r="M3" s="268"/>
      <c r="N3" s="268"/>
      <c r="O3" s="265"/>
      <c r="P3" s="266"/>
      <c r="Q3" s="266"/>
      <c r="R3" s="266"/>
      <c r="S3" s="267"/>
      <c r="T3" s="265"/>
      <c r="U3" s="265"/>
      <c r="V3" s="265"/>
      <c r="W3" s="268"/>
      <c r="Y3" s="268"/>
      <c r="Z3" s="268"/>
      <c r="AA3" s="269"/>
      <c r="AB3" s="265"/>
      <c r="AC3" s="266"/>
      <c r="AD3" s="266"/>
      <c r="AE3" s="266"/>
      <c r="AF3" s="267"/>
      <c r="AG3" s="265"/>
      <c r="AH3" s="265"/>
      <c r="AI3" s="265"/>
      <c r="AJ3" s="268"/>
      <c r="AK3" s="563" t="s">
        <v>278</v>
      </c>
      <c r="AL3" s="563"/>
      <c r="AM3" s="563"/>
      <c r="AN3" s="563"/>
      <c r="AO3" s="272"/>
    </row>
    <row r="4" spans="1:43" ht="24" customHeight="1" x14ac:dyDescent="0.3">
      <c r="A4" s="265"/>
      <c r="B4" s="266"/>
      <c r="C4" s="266"/>
      <c r="D4" s="266"/>
      <c r="E4" s="267"/>
      <c r="F4" s="265"/>
      <c r="G4" s="265"/>
      <c r="H4" s="265"/>
      <c r="I4" s="74"/>
      <c r="J4" s="268"/>
      <c r="K4" s="268"/>
      <c r="L4" s="268"/>
      <c r="M4" s="268"/>
      <c r="N4" s="268"/>
      <c r="O4" s="265"/>
      <c r="P4" s="266"/>
      <c r="Q4" s="266"/>
      <c r="R4" s="266"/>
      <c r="S4" s="267"/>
      <c r="T4" s="265"/>
      <c r="U4" s="265"/>
      <c r="V4" s="265"/>
      <c r="W4" s="268"/>
      <c r="Y4" s="268"/>
      <c r="Z4" s="268"/>
      <c r="AA4" s="269"/>
      <c r="AB4" s="265"/>
      <c r="AC4" s="266"/>
      <c r="AD4" s="266"/>
      <c r="AE4" s="266"/>
      <c r="AF4" s="267"/>
      <c r="AG4" s="265"/>
      <c r="AH4" s="265"/>
      <c r="AI4" s="265"/>
      <c r="AJ4" s="268"/>
      <c r="AL4" s="268"/>
      <c r="AM4" s="268"/>
      <c r="AN4" s="269"/>
      <c r="AO4" s="268"/>
    </row>
    <row r="5" spans="1:43" ht="24" customHeight="1" x14ac:dyDescent="0.3">
      <c r="A5" s="555" t="s">
        <v>219</v>
      </c>
      <c r="B5" s="555"/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556" t="s">
        <v>220</v>
      </c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556"/>
      <c r="AB5" s="556" t="s">
        <v>221</v>
      </c>
      <c r="AC5" s="556"/>
      <c r="AD5" s="556"/>
      <c r="AE5" s="556"/>
      <c r="AF5" s="556"/>
      <c r="AG5" s="556"/>
      <c r="AH5" s="556"/>
      <c r="AI5" s="556"/>
      <c r="AJ5" s="556"/>
      <c r="AK5" s="556"/>
      <c r="AL5" s="556"/>
      <c r="AM5" s="556"/>
      <c r="AN5" s="556"/>
      <c r="AO5" s="273"/>
    </row>
    <row r="6" spans="1:43" ht="20.25" customHeight="1" x14ac:dyDescent="0.3">
      <c r="A6" s="555" t="s">
        <v>222</v>
      </c>
      <c r="B6" s="555"/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6" t="s">
        <v>222</v>
      </c>
      <c r="P6" s="556"/>
      <c r="Q6" s="556"/>
      <c r="R6" s="556"/>
      <c r="S6" s="556"/>
      <c r="T6" s="556"/>
      <c r="U6" s="556"/>
      <c r="V6" s="556"/>
      <c r="W6" s="556"/>
      <c r="X6" s="556"/>
      <c r="Y6" s="556"/>
      <c r="Z6" s="556"/>
      <c r="AA6" s="556"/>
      <c r="AB6" s="556" t="s">
        <v>222</v>
      </c>
      <c r="AC6" s="556"/>
      <c r="AD6" s="556"/>
      <c r="AE6" s="556"/>
      <c r="AF6" s="556"/>
      <c r="AG6" s="556"/>
      <c r="AH6" s="556"/>
      <c r="AI6" s="556"/>
      <c r="AJ6" s="556"/>
      <c r="AK6" s="556"/>
      <c r="AL6" s="556"/>
      <c r="AM6" s="556"/>
      <c r="AN6" s="556"/>
      <c r="AO6" s="273"/>
    </row>
    <row r="7" spans="1:43" ht="20.25" x14ac:dyDescent="0.3">
      <c r="A7" s="274"/>
      <c r="B7" s="74"/>
      <c r="C7" s="74"/>
      <c r="D7" s="74"/>
      <c r="E7" s="74"/>
      <c r="F7" s="74"/>
      <c r="G7" s="74"/>
      <c r="H7" s="74"/>
      <c r="I7" s="74"/>
      <c r="J7" s="74"/>
      <c r="K7" s="74"/>
      <c r="L7" s="273"/>
      <c r="M7" s="273"/>
      <c r="N7" s="275" t="str">
        <f>AN7</f>
        <v>по состоянию на _______________</v>
      </c>
      <c r="O7" s="274"/>
      <c r="AA7" s="14" t="str">
        <f>AN7</f>
        <v>по состоянию на _______________</v>
      </c>
      <c r="AB7" s="274"/>
      <c r="AM7" s="273"/>
      <c r="AN7" s="14" t="s">
        <v>275</v>
      </c>
    </row>
    <row r="8" spans="1:43" ht="17.25" thickBot="1" x14ac:dyDescent="0.3">
      <c r="A8" s="276" t="s">
        <v>4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77"/>
      <c r="N8" s="278" t="s">
        <v>223</v>
      </c>
      <c r="O8" s="276" t="s">
        <v>4</v>
      </c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79" t="s">
        <v>224</v>
      </c>
      <c r="AB8" s="276" t="s">
        <v>4</v>
      </c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79" t="s">
        <v>225</v>
      </c>
    </row>
    <row r="9" spans="1:43" s="280" customFormat="1" ht="15.75" customHeight="1" thickTop="1" x14ac:dyDescent="0.25">
      <c r="A9" s="557" t="s">
        <v>8</v>
      </c>
      <c r="B9" s="552" t="s">
        <v>12</v>
      </c>
      <c r="C9" s="552" t="s">
        <v>13</v>
      </c>
      <c r="D9" s="548" t="s">
        <v>14</v>
      </c>
      <c r="E9" s="553"/>
      <c r="F9" s="553"/>
      <c r="G9" s="553"/>
      <c r="H9" s="553"/>
      <c r="I9" s="554"/>
      <c r="J9" s="553" t="s">
        <v>15</v>
      </c>
      <c r="K9" s="549"/>
      <c r="L9" s="549"/>
      <c r="M9" s="549"/>
      <c r="N9" s="550"/>
      <c r="O9" s="551" t="s">
        <v>12</v>
      </c>
      <c r="P9" s="552" t="s">
        <v>13</v>
      </c>
      <c r="Q9" s="548" t="s">
        <v>14</v>
      </c>
      <c r="R9" s="553"/>
      <c r="S9" s="553"/>
      <c r="T9" s="553"/>
      <c r="U9" s="553"/>
      <c r="V9" s="554"/>
      <c r="W9" s="548" t="s">
        <v>15</v>
      </c>
      <c r="X9" s="549"/>
      <c r="Y9" s="549"/>
      <c r="Z9" s="549"/>
      <c r="AA9" s="550"/>
      <c r="AB9" s="551" t="s">
        <v>12</v>
      </c>
      <c r="AC9" s="552" t="s">
        <v>13</v>
      </c>
      <c r="AD9" s="548" t="s">
        <v>14</v>
      </c>
      <c r="AE9" s="553"/>
      <c r="AF9" s="553"/>
      <c r="AG9" s="553"/>
      <c r="AH9" s="553"/>
      <c r="AI9" s="554"/>
      <c r="AJ9" s="548" t="s">
        <v>15</v>
      </c>
      <c r="AK9" s="549"/>
      <c r="AL9" s="549"/>
      <c r="AM9" s="549"/>
      <c r="AN9" s="550"/>
    </row>
    <row r="10" spans="1:43" s="280" customFormat="1" ht="15.75" customHeight="1" x14ac:dyDescent="0.25">
      <c r="A10" s="558"/>
      <c r="B10" s="533"/>
      <c r="C10" s="533"/>
      <c r="D10" s="541" t="s">
        <v>17</v>
      </c>
      <c r="E10" s="542"/>
      <c r="F10" s="543"/>
      <c r="G10" s="541" t="s">
        <v>18</v>
      </c>
      <c r="H10" s="543"/>
      <c r="I10" s="539" t="s">
        <v>19</v>
      </c>
      <c r="J10" s="545" t="s">
        <v>25</v>
      </c>
      <c r="K10" s="532" t="s">
        <v>26</v>
      </c>
      <c r="L10" s="532" t="s">
        <v>27</v>
      </c>
      <c r="M10" s="532" t="s">
        <v>28</v>
      </c>
      <c r="N10" s="535" t="s">
        <v>29</v>
      </c>
      <c r="O10" s="546"/>
      <c r="P10" s="533"/>
      <c r="Q10" s="541" t="s">
        <v>17</v>
      </c>
      <c r="R10" s="542"/>
      <c r="S10" s="543"/>
      <c r="T10" s="541" t="s">
        <v>18</v>
      </c>
      <c r="U10" s="543"/>
      <c r="V10" s="539" t="s">
        <v>19</v>
      </c>
      <c r="W10" s="532" t="s">
        <v>25</v>
      </c>
      <c r="X10" s="532" t="s">
        <v>26</v>
      </c>
      <c r="Y10" s="532" t="s">
        <v>27</v>
      </c>
      <c r="Z10" s="532" t="s">
        <v>28</v>
      </c>
      <c r="AA10" s="535" t="s">
        <v>29</v>
      </c>
      <c r="AB10" s="546"/>
      <c r="AC10" s="533"/>
      <c r="AD10" s="541" t="s">
        <v>17</v>
      </c>
      <c r="AE10" s="542"/>
      <c r="AF10" s="543"/>
      <c r="AG10" s="541" t="s">
        <v>18</v>
      </c>
      <c r="AH10" s="543"/>
      <c r="AI10" s="539" t="s">
        <v>19</v>
      </c>
      <c r="AJ10" s="532" t="s">
        <v>25</v>
      </c>
      <c r="AK10" s="532" t="s">
        <v>26</v>
      </c>
      <c r="AL10" s="532" t="s">
        <v>27</v>
      </c>
      <c r="AM10" s="532" t="s">
        <v>28</v>
      </c>
      <c r="AN10" s="535" t="s">
        <v>29</v>
      </c>
    </row>
    <row r="11" spans="1:43" s="280" customFormat="1" ht="14.25" customHeight="1" x14ac:dyDescent="0.25">
      <c r="A11" s="558"/>
      <c r="B11" s="533"/>
      <c r="C11" s="533"/>
      <c r="D11" s="532" t="s">
        <v>20</v>
      </c>
      <c r="E11" s="532" t="s">
        <v>21</v>
      </c>
      <c r="F11" s="532" t="s">
        <v>22</v>
      </c>
      <c r="G11" s="539" t="s">
        <v>23</v>
      </c>
      <c r="H11" s="539" t="s">
        <v>24</v>
      </c>
      <c r="I11" s="544"/>
      <c r="J11" s="546"/>
      <c r="K11" s="533"/>
      <c r="L11" s="533"/>
      <c r="M11" s="533"/>
      <c r="N11" s="536"/>
      <c r="O11" s="546"/>
      <c r="P11" s="533"/>
      <c r="Q11" s="532" t="s">
        <v>20</v>
      </c>
      <c r="R11" s="532" t="s">
        <v>21</v>
      </c>
      <c r="S11" s="532" t="s">
        <v>22</v>
      </c>
      <c r="T11" s="539" t="s">
        <v>23</v>
      </c>
      <c r="U11" s="539" t="s">
        <v>24</v>
      </c>
      <c r="V11" s="544"/>
      <c r="W11" s="533"/>
      <c r="X11" s="533"/>
      <c r="Y11" s="533"/>
      <c r="Z11" s="533"/>
      <c r="AA11" s="536"/>
      <c r="AB11" s="546"/>
      <c r="AC11" s="533"/>
      <c r="AD11" s="532" t="s">
        <v>20</v>
      </c>
      <c r="AE11" s="532" t="s">
        <v>21</v>
      </c>
      <c r="AF11" s="532" t="s">
        <v>22</v>
      </c>
      <c r="AG11" s="539" t="s">
        <v>23</v>
      </c>
      <c r="AH11" s="539" t="s">
        <v>24</v>
      </c>
      <c r="AI11" s="544"/>
      <c r="AJ11" s="533"/>
      <c r="AK11" s="533"/>
      <c r="AL11" s="533"/>
      <c r="AM11" s="533"/>
      <c r="AN11" s="536"/>
    </row>
    <row r="12" spans="1:43" s="280" customFormat="1" ht="14.25" customHeight="1" x14ac:dyDescent="0.25">
      <c r="A12" s="559"/>
      <c r="B12" s="534"/>
      <c r="C12" s="534"/>
      <c r="D12" s="538"/>
      <c r="E12" s="538"/>
      <c r="F12" s="538"/>
      <c r="G12" s="540"/>
      <c r="H12" s="540"/>
      <c r="I12" s="540"/>
      <c r="J12" s="547"/>
      <c r="K12" s="534"/>
      <c r="L12" s="534"/>
      <c r="M12" s="534"/>
      <c r="N12" s="537"/>
      <c r="O12" s="547"/>
      <c r="P12" s="534"/>
      <c r="Q12" s="538"/>
      <c r="R12" s="538"/>
      <c r="S12" s="538"/>
      <c r="T12" s="540"/>
      <c r="U12" s="540"/>
      <c r="V12" s="540"/>
      <c r="W12" s="534"/>
      <c r="X12" s="534"/>
      <c r="Y12" s="534"/>
      <c r="Z12" s="534"/>
      <c r="AA12" s="537"/>
      <c r="AB12" s="547"/>
      <c r="AC12" s="534"/>
      <c r="AD12" s="538"/>
      <c r="AE12" s="538"/>
      <c r="AF12" s="538"/>
      <c r="AG12" s="540"/>
      <c r="AH12" s="540"/>
      <c r="AI12" s="540"/>
      <c r="AJ12" s="534"/>
      <c r="AK12" s="534"/>
      <c r="AL12" s="534"/>
      <c r="AM12" s="534"/>
      <c r="AN12" s="537"/>
    </row>
    <row r="13" spans="1:43" s="280" customFormat="1" ht="18" customHeight="1" thickBot="1" x14ac:dyDescent="0.3">
      <c r="A13" s="281">
        <v>1</v>
      </c>
      <c r="B13" s="282">
        <v>2</v>
      </c>
      <c r="C13" s="282">
        <v>3</v>
      </c>
      <c r="D13" s="282">
        <v>4</v>
      </c>
      <c r="E13" s="282">
        <v>5</v>
      </c>
      <c r="F13" s="282">
        <v>6</v>
      </c>
      <c r="G13" s="282">
        <v>7</v>
      </c>
      <c r="H13" s="282">
        <v>8</v>
      </c>
      <c r="I13" s="282">
        <v>9</v>
      </c>
      <c r="J13" s="283">
        <v>10</v>
      </c>
      <c r="K13" s="282">
        <v>11</v>
      </c>
      <c r="L13" s="282">
        <v>12</v>
      </c>
      <c r="M13" s="282">
        <v>13</v>
      </c>
      <c r="N13" s="284">
        <v>14</v>
      </c>
      <c r="O13" s="283">
        <v>2</v>
      </c>
      <c r="P13" s="282">
        <v>3</v>
      </c>
      <c r="Q13" s="282">
        <v>4</v>
      </c>
      <c r="R13" s="282">
        <v>5</v>
      </c>
      <c r="S13" s="282">
        <v>6</v>
      </c>
      <c r="T13" s="282">
        <v>7</v>
      </c>
      <c r="U13" s="282">
        <v>8</v>
      </c>
      <c r="V13" s="282">
        <v>9</v>
      </c>
      <c r="W13" s="282">
        <v>10</v>
      </c>
      <c r="X13" s="282">
        <v>11</v>
      </c>
      <c r="Y13" s="282">
        <v>12</v>
      </c>
      <c r="Z13" s="282">
        <v>13</v>
      </c>
      <c r="AA13" s="284">
        <v>14</v>
      </c>
      <c r="AB13" s="283">
        <v>2</v>
      </c>
      <c r="AC13" s="282">
        <v>3</v>
      </c>
      <c r="AD13" s="282">
        <v>4</v>
      </c>
      <c r="AE13" s="282">
        <v>5</v>
      </c>
      <c r="AF13" s="282">
        <v>6</v>
      </c>
      <c r="AG13" s="282">
        <v>7</v>
      </c>
      <c r="AH13" s="282">
        <v>8</v>
      </c>
      <c r="AI13" s="282">
        <v>9</v>
      </c>
      <c r="AJ13" s="282">
        <v>10</v>
      </c>
      <c r="AK13" s="282">
        <v>11</v>
      </c>
      <c r="AL13" s="282">
        <v>12</v>
      </c>
      <c r="AM13" s="282">
        <v>13</v>
      </c>
      <c r="AN13" s="284">
        <v>14</v>
      </c>
    </row>
    <row r="14" spans="1:43" ht="18.75" customHeight="1" x14ac:dyDescent="0.3">
      <c r="A14" s="285" t="s">
        <v>226</v>
      </c>
      <c r="B14" s="286">
        <v>46.37299999999999</v>
      </c>
      <c r="C14" s="286">
        <v>46.372999999999976</v>
      </c>
      <c r="D14" s="286">
        <v>0</v>
      </c>
      <c r="E14" s="286">
        <v>32.962000000000003</v>
      </c>
      <c r="F14" s="286">
        <v>13.410999999999973</v>
      </c>
      <c r="G14" s="286">
        <v>0</v>
      </c>
      <c r="H14" s="286">
        <v>0</v>
      </c>
      <c r="I14" s="286">
        <v>0</v>
      </c>
      <c r="J14" s="286">
        <v>0</v>
      </c>
      <c r="K14" s="286">
        <v>0</v>
      </c>
      <c r="L14" s="286">
        <v>46.372999999999976</v>
      </c>
      <c r="M14" s="286">
        <v>0</v>
      </c>
      <c r="N14" s="286">
        <v>0</v>
      </c>
      <c r="O14" s="287">
        <v>355.65100000000007</v>
      </c>
      <c r="P14" s="287">
        <v>275.97000000000003</v>
      </c>
      <c r="Q14" s="287">
        <v>0</v>
      </c>
      <c r="R14" s="287">
        <v>5.673</v>
      </c>
      <c r="S14" s="287">
        <v>3.867</v>
      </c>
      <c r="T14" s="287">
        <v>160.726</v>
      </c>
      <c r="U14" s="287">
        <v>105.70399999999998</v>
      </c>
      <c r="V14" s="287">
        <v>79.681000000000026</v>
      </c>
      <c r="W14" s="287">
        <v>0</v>
      </c>
      <c r="X14" s="287">
        <v>0</v>
      </c>
      <c r="Y14" s="287">
        <v>3.7240000000000002</v>
      </c>
      <c r="Z14" s="287">
        <v>206.642</v>
      </c>
      <c r="AA14" s="287">
        <v>65.603999999999999</v>
      </c>
      <c r="AB14" s="287">
        <v>402.02400000000006</v>
      </c>
      <c r="AC14" s="287">
        <v>322.34300000000002</v>
      </c>
      <c r="AD14" s="287">
        <v>0</v>
      </c>
      <c r="AE14" s="287">
        <v>38.635000000000005</v>
      </c>
      <c r="AF14" s="287">
        <v>17.277999999999974</v>
      </c>
      <c r="AG14" s="287">
        <v>160.726</v>
      </c>
      <c r="AH14" s="287">
        <v>105.70399999999998</v>
      </c>
      <c r="AI14" s="287">
        <v>79.681000000000026</v>
      </c>
      <c r="AJ14" s="287">
        <v>0</v>
      </c>
      <c r="AK14" s="287">
        <v>0</v>
      </c>
      <c r="AL14" s="287">
        <v>50.09699999999998</v>
      </c>
      <c r="AM14" s="287">
        <v>206.642</v>
      </c>
      <c r="AN14" s="287">
        <v>65.603999999999999</v>
      </c>
      <c r="AO14" s="77"/>
      <c r="AP14" s="77"/>
      <c r="AQ14" s="77"/>
    </row>
    <row r="15" spans="1:43" ht="18.75" customHeight="1" x14ac:dyDescent="0.3">
      <c r="A15" s="288" t="s">
        <v>227</v>
      </c>
      <c r="B15" s="289">
        <v>74.11999999999999</v>
      </c>
      <c r="C15" s="289">
        <v>74.11999999999999</v>
      </c>
      <c r="D15" s="289">
        <v>0</v>
      </c>
      <c r="E15" s="289">
        <v>31.111999999999995</v>
      </c>
      <c r="F15" s="289">
        <v>43.008000000000003</v>
      </c>
      <c r="G15" s="289">
        <v>0</v>
      </c>
      <c r="H15" s="289">
        <v>0</v>
      </c>
      <c r="I15" s="289">
        <v>0</v>
      </c>
      <c r="J15" s="289">
        <v>0</v>
      </c>
      <c r="K15" s="289">
        <v>2.948</v>
      </c>
      <c r="L15" s="289">
        <v>71.171999999999997</v>
      </c>
      <c r="M15" s="289">
        <v>0</v>
      </c>
      <c r="N15" s="289">
        <v>0</v>
      </c>
      <c r="O15" s="290">
        <v>344.73999999999995</v>
      </c>
      <c r="P15" s="290">
        <v>335.87399999999997</v>
      </c>
      <c r="Q15" s="290">
        <v>0</v>
      </c>
      <c r="R15" s="290">
        <v>32.124000000000002</v>
      </c>
      <c r="S15" s="290">
        <v>56.528000000000006</v>
      </c>
      <c r="T15" s="290">
        <v>223.22399999999999</v>
      </c>
      <c r="U15" s="290">
        <v>23.998000000000001</v>
      </c>
      <c r="V15" s="290">
        <v>8.8660000000000014</v>
      </c>
      <c r="W15" s="290">
        <v>0</v>
      </c>
      <c r="X15" s="290">
        <v>0</v>
      </c>
      <c r="Y15" s="290">
        <v>1.464</v>
      </c>
      <c r="Z15" s="290">
        <v>233.58399999999997</v>
      </c>
      <c r="AA15" s="290">
        <v>100.82599999999999</v>
      </c>
      <c r="AB15" s="290">
        <v>418.85999999999996</v>
      </c>
      <c r="AC15" s="290">
        <v>409.99399999999997</v>
      </c>
      <c r="AD15" s="290">
        <v>0</v>
      </c>
      <c r="AE15" s="290">
        <v>63.235999999999997</v>
      </c>
      <c r="AF15" s="290">
        <v>99.536000000000001</v>
      </c>
      <c r="AG15" s="290">
        <v>223.22399999999999</v>
      </c>
      <c r="AH15" s="290">
        <v>23.998000000000001</v>
      </c>
      <c r="AI15" s="290">
        <v>8.8660000000000014</v>
      </c>
      <c r="AJ15" s="290">
        <v>0</v>
      </c>
      <c r="AK15" s="290">
        <v>2.948</v>
      </c>
      <c r="AL15" s="290">
        <v>72.635999999999996</v>
      </c>
      <c r="AM15" s="290">
        <v>233.58399999999997</v>
      </c>
      <c r="AN15" s="290">
        <v>100.82599999999999</v>
      </c>
      <c r="AO15" s="77"/>
      <c r="AP15" s="77"/>
      <c r="AQ15" s="77"/>
    </row>
    <row r="16" spans="1:43" ht="18.75" customHeight="1" x14ac:dyDescent="0.3">
      <c r="A16" s="288" t="s">
        <v>228</v>
      </c>
      <c r="B16" s="289">
        <v>24.492999999999999</v>
      </c>
      <c r="C16" s="289">
        <v>24.492999999999999</v>
      </c>
      <c r="D16" s="289">
        <v>0</v>
      </c>
      <c r="E16" s="289">
        <v>16.417999999999999</v>
      </c>
      <c r="F16" s="289">
        <v>0</v>
      </c>
      <c r="G16" s="289">
        <v>8.0749999999999993</v>
      </c>
      <c r="H16" s="289">
        <v>0</v>
      </c>
      <c r="I16" s="289">
        <v>0</v>
      </c>
      <c r="J16" s="289">
        <v>0</v>
      </c>
      <c r="K16" s="289">
        <v>0</v>
      </c>
      <c r="L16" s="289">
        <v>24.492999999999999</v>
      </c>
      <c r="M16" s="289">
        <v>0</v>
      </c>
      <c r="N16" s="289">
        <v>0</v>
      </c>
      <c r="O16" s="291">
        <v>242.83399999999997</v>
      </c>
      <c r="P16" s="291">
        <v>240.34299999999996</v>
      </c>
      <c r="Q16" s="291">
        <v>0</v>
      </c>
      <c r="R16" s="291">
        <v>42.146999999999998</v>
      </c>
      <c r="S16" s="291">
        <v>1.9319999999999999</v>
      </c>
      <c r="T16" s="291">
        <v>93.328000000000017</v>
      </c>
      <c r="U16" s="291">
        <v>102.93600000000001</v>
      </c>
      <c r="V16" s="291">
        <v>2.4910000000000001</v>
      </c>
      <c r="W16" s="291">
        <v>0</v>
      </c>
      <c r="X16" s="291">
        <v>0</v>
      </c>
      <c r="Y16" s="291">
        <v>19.853999999999999</v>
      </c>
      <c r="Z16" s="291">
        <v>182.47299999999996</v>
      </c>
      <c r="AA16" s="291">
        <v>38.016000000000005</v>
      </c>
      <c r="AB16" s="291">
        <v>267.327</v>
      </c>
      <c r="AC16" s="291">
        <v>264.83599999999996</v>
      </c>
      <c r="AD16" s="291">
        <v>0</v>
      </c>
      <c r="AE16" s="291">
        <v>58.564999999999998</v>
      </c>
      <c r="AF16" s="291">
        <v>1.9319999999999999</v>
      </c>
      <c r="AG16" s="291">
        <v>101.40300000000002</v>
      </c>
      <c r="AH16" s="291">
        <v>102.93600000000001</v>
      </c>
      <c r="AI16" s="291">
        <v>2.4910000000000001</v>
      </c>
      <c r="AJ16" s="291">
        <v>0</v>
      </c>
      <c r="AK16" s="291">
        <v>0</v>
      </c>
      <c r="AL16" s="291">
        <v>44.346999999999994</v>
      </c>
      <c r="AM16" s="291">
        <v>182.47299999999996</v>
      </c>
      <c r="AN16" s="291">
        <v>38.016000000000005</v>
      </c>
      <c r="AO16" s="77"/>
      <c r="AP16" s="292"/>
      <c r="AQ16" s="77"/>
    </row>
    <row r="17" spans="1:43" ht="18.75" customHeight="1" x14ac:dyDescent="0.3">
      <c r="A17" s="288" t="s">
        <v>229</v>
      </c>
      <c r="B17" s="289">
        <v>228.55200000000002</v>
      </c>
      <c r="C17" s="289">
        <v>207.43099999999998</v>
      </c>
      <c r="D17" s="289">
        <v>0</v>
      </c>
      <c r="E17" s="289">
        <v>93.076000000000008</v>
      </c>
      <c r="F17" s="289">
        <v>0</v>
      </c>
      <c r="G17" s="289">
        <v>114.355</v>
      </c>
      <c r="H17" s="289">
        <v>0</v>
      </c>
      <c r="I17" s="289">
        <v>21.121000000000009</v>
      </c>
      <c r="J17" s="289">
        <v>0</v>
      </c>
      <c r="K17" s="289">
        <v>0</v>
      </c>
      <c r="L17" s="289">
        <v>142.92400000000001</v>
      </c>
      <c r="M17" s="289">
        <v>64.507000000000005</v>
      </c>
      <c r="N17" s="289">
        <v>0</v>
      </c>
      <c r="O17" s="291">
        <v>259.96199999999993</v>
      </c>
      <c r="P17" s="291">
        <v>117.05100000000003</v>
      </c>
      <c r="Q17" s="291">
        <v>0</v>
      </c>
      <c r="R17" s="291">
        <v>3.5589999999999997</v>
      </c>
      <c r="S17" s="291">
        <v>7.9580000000000002</v>
      </c>
      <c r="T17" s="291">
        <v>80.152999999999992</v>
      </c>
      <c r="U17" s="291">
        <v>25.381</v>
      </c>
      <c r="V17" s="291">
        <v>142.911</v>
      </c>
      <c r="W17" s="291">
        <v>0</v>
      </c>
      <c r="X17" s="291">
        <v>0</v>
      </c>
      <c r="Y17" s="291">
        <v>1.8140000000000001</v>
      </c>
      <c r="Z17" s="291">
        <v>93.404000000000011</v>
      </c>
      <c r="AA17" s="291">
        <v>21.832999999999998</v>
      </c>
      <c r="AB17" s="291">
        <v>488.51399999999995</v>
      </c>
      <c r="AC17" s="291">
        <v>324.48200000000003</v>
      </c>
      <c r="AD17" s="291">
        <v>0</v>
      </c>
      <c r="AE17" s="291">
        <v>96.635000000000005</v>
      </c>
      <c r="AF17" s="291">
        <v>7.9580000000000002</v>
      </c>
      <c r="AG17" s="291">
        <v>194.50799999999998</v>
      </c>
      <c r="AH17" s="291">
        <v>25.381</v>
      </c>
      <c r="AI17" s="291">
        <v>164.03200000000001</v>
      </c>
      <c r="AJ17" s="291">
        <v>0</v>
      </c>
      <c r="AK17" s="291">
        <v>0</v>
      </c>
      <c r="AL17" s="291">
        <v>144.738</v>
      </c>
      <c r="AM17" s="291">
        <v>157.911</v>
      </c>
      <c r="AN17" s="291">
        <v>21.832999999999998</v>
      </c>
      <c r="AO17" s="77"/>
      <c r="AP17" s="77"/>
      <c r="AQ17" s="77"/>
    </row>
    <row r="18" spans="1:43" ht="18.75" customHeight="1" x14ac:dyDescent="0.3">
      <c r="A18" s="288" t="s">
        <v>230</v>
      </c>
      <c r="B18" s="289">
        <v>184.86599999999999</v>
      </c>
      <c r="C18" s="289">
        <v>178.16899999999998</v>
      </c>
      <c r="D18" s="289">
        <v>0</v>
      </c>
      <c r="E18" s="289">
        <v>37.452999999999996</v>
      </c>
      <c r="F18" s="289">
        <v>46.760999999999996</v>
      </c>
      <c r="G18" s="289">
        <v>93.954999999999998</v>
      </c>
      <c r="H18" s="289">
        <v>0</v>
      </c>
      <c r="I18" s="289">
        <v>6.6970000000000018</v>
      </c>
      <c r="J18" s="289">
        <v>0</v>
      </c>
      <c r="K18" s="289">
        <v>0</v>
      </c>
      <c r="L18" s="289">
        <v>61.387</v>
      </c>
      <c r="M18" s="289">
        <v>104.989</v>
      </c>
      <c r="N18" s="289">
        <v>11.792999999999999</v>
      </c>
      <c r="O18" s="291">
        <v>216.791</v>
      </c>
      <c r="P18" s="291">
        <v>153.35000000000002</v>
      </c>
      <c r="Q18" s="291">
        <v>0</v>
      </c>
      <c r="R18" s="291">
        <v>1.4059999999999999</v>
      </c>
      <c r="S18" s="291">
        <v>0</v>
      </c>
      <c r="T18" s="291">
        <v>147.30500000000001</v>
      </c>
      <c r="U18" s="291">
        <v>4.6390000000000002</v>
      </c>
      <c r="V18" s="291">
        <v>63.44100000000001</v>
      </c>
      <c r="W18" s="291">
        <v>0</v>
      </c>
      <c r="X18" s="291">
        <v>0</v>
      </c>
      <c r="Y18" s="291">
        <v>0</v>
      </c>
      <c r="Z18" s="291">
        <v>89.241000000000014</v>
      </c>
      <c r="AA18" s="291">
        <v>64.109000000000009</v>
      </c>
      <c r="AB18" s="291">
        <v>401.65699999999998</v>
      </c>
      <c r="AC18" s="291">
        <v>331.51900000000001</v>
      </c>
      <c r="AD18" s="291">
        <v>0</v>
      </c>
      <c r="AE18" s="291">
        <v>38.858999999999995</v>
      </c>
      <c r="AF18" s="291">
        <v>46.760999999999996</v>
      </c>
      <c r="AG18" s="291">
        <v>241.26</v>
      </c>
      <c r="AH18" s="291">
        <v>4.6390000000000002</v>
      </c>
      <c r="AI18" s="291">
        <v>70.138000000000005</v>
      </c>
      <c r="AJ18" s="291">
        <v>0</v>
      </c>
      <c r="AK18" s="291">
        <v>0</v>
      </c>
      <c r="AL18" s="291">
        <v>61.387</v>
      </c>
      <c r="AM18" s="291">
        <v>194.23000000000002</v>
      </c>
      <c r="AN18" s="291">
        <v>75.902000000000015</v>
      </c>
      <c r="AO18" s="77"/>
      <c r="AP18" s="77"/>
      <c r="AQ18" s="77"/>
    </row>
    <row r="19" spans="1:43" ht="18.75" customHeight="1" x14ac:dyDescent="0.3">
      <c r="A19" s="288" t="s">
        <v>231</v>
      </c>
      <c r="B19" s="293">
        <v>135.26300000000001</v>
      </c>
      <c r="C19" s="293">
        <v>135.26300000000001</v>
      </c>
      <c r="D19" s="293">
        <v>0</v>
      </c>
      <c r="E19" s="293">
        <v>38.482999999999997</v>
      </c>
      <c r="F19" s="293">
        <v>20.181000000000001</v>
      </c>
      <c r="G19" s="293">
        <v>76.599000000000004</v>
      </c>
      <c r="H19" s="293">
        <v>0</v>
      </c>
      <c r="I19" s="293">
        <v>0</v>
      </c>
      <c r="J19" s="293">
        <v>0</v>
      </c>
      <c r="K19" s="293">
        <v>0</v>
      </c>
      <c r="L19" s="293">
        <v>40.005000000000003</v>
      </c>
      <c r="M19" s="293">
        <v>95.25800000000001</v>
      </c>
      <c r="N19" s="293">
        <v>0</v>
      </c>
      <c r="O19" s="290">
        <v>364.64499999999998</v>
      </c>
      <c r="P19" s="290">
        <v>248.56100000000004</v>
      </c>
      <c r="Q19" s="290">
        <v>0</v>
      </c>
      <c r="R19" s="290">
        <v>1.4470000000000001</v>
      </c>
      <c r="S19" s="290">
        <v>0.62900000000000045</v>
      </c>
      <c r="T19" s="290">
        <v>219.34100000000001</v>
      </c>
      <c r="U19" s="290">
        <v>27.144000000000002</v>
      </c>
      <c r="V19" s="290">
        <v>116.084</v>
      </c>
      <c r="W19" s="290">
        <v>0</v>
      </c>
      <c r="X19" s="290">
        <v>0</v>
      </c>
      <c r="Y19" s="290">
        <v>0</v>
      </c>
      <c r="Z19" s="290">
        <v>198.90899999999999</v>
      </c>
      <c r="AA19" s="290">
        <v>49.652000000000001</v>
      </c>
      <c r="AB19" s="290">
        <v>499.90800000000002</v>
      </c>
      <c r="AC19" s="290">
        <v>383.82400000000007</v>
      </c>
      <c r="AD19" s="290">
        <v>0</v>
      </c>
      <c r="AE19" s="290">
        <v>39.93</v>
      </c>
      <c r="AF19" s="290">
        <v>20.810000000000002</v>
      </c>
      <c r="AG19" s="290">
        <v>295.94</v>
      </c>
      <c r="AH19" s="290">
        <v>27.144000000000002</v>
      </c>
      <c r="AI19" s="290">
        <v>116.084</v>
      </c>
      <c r="AJ19" s="290">
        <v>0</v>
      </c>
      <c r="AK19" s="290">
        <v>0</v>
      </c>
      <c r="AL19" s="290">
        <v>40.005000000000003</v>
      </c>
      <c r="AM19" s="290">
        <v>294.16700000000003</v>
      </c>
      <c r="AN19" s="290">
        <v>49.652000000000001</v>
      </c>
      <c r="AO19" s="77"/>
      <c r="AP19" s="77"/>
      <c r="AQ19" s="77"/>
    </row>
    <row r="20" spans="1:43" ht="18.75" customHeight="1" x14ac:dyDescent="0.3">
      <c r="A20" s="288" t="s">
        <v>232</v>
      </c>
      <c r="B20" s="293">
        <v>162.12299999999999</v>
      </c>
      <c r="C20" s="293">
        <v>162.12299999999999</v>
      </c>
      <c r="D20" s="293">
        <v>42.489999999999995</v>
      </c>
      <c r="E20" s="293">
        <v>63.677999999999997</v>
      </c>
      <c r="F20" s="293">
        <v>0</v>
      </c>
      <c r="G20" s="293">
        <v>21.172000000000015</v>
      </c>
      <c r="H20" s="293">
        <v>34.782999999999994</v>
      </c>
      <c r="I20" s="293">
        <v>0</v>
      </c>
      <c r="J20" s="293">
        <v>0</v>
      </c>
      <c r="K20" s="293">
        <v>0</v>
      </c>
      <c r="L20" s="293">
        <v>59.898000000000003</v>
      </c>
      <c r="M20" s="293">
        <v>90.669999999999987</v>
      </c>
      <c r="N20" s="293">
        <v>11.555</v>
      </c>
      <c r="O20" s="290">
        <v>340.10600000000011</v>
      </c>
      <c r="P20" s="290">
        <v>340.10600000000011</v>
      </c>
      <c r="Q20" s="290">
        <v>19.324000000000002</v>
      </c>
      <c r="R20" s="290">
        <v>42.086000000000006</v>
      </c>
      <c r="S20" s="290">
        <v>5.7469999999999999</v>
      </c>
      <c r="T20" s="290">
        <v>114.62800000000001</v>
      </c>
      <c r="U20" s="290">
        <v>158.32100000000003</v>
      </c>
      <c r="V20" s="290">
        <v>0</v>
      </c>
      <c r="W20" s="290">
        <v>0</v>
      </c>
      <c r="X20" s="290">
        <v>0</v>
      </c>
      <c r="Y20" s="290">
        <v>0</v>
      </c>
      <c r="Z20" s="290">
        <v>272.57799999999997</v>
      </c>
      <c r="AA20" s="290">
        <v>67.528000000000006</v>
      </c>
      <c r="AB20" s="290">
        <v>502.2290000000001</v>
      </c>
      <c r="AC20" s="290">
        <v>502.2290000000001</v>
      </c>
      <c r="AD20" s="290">
        <v>61.813999999999993</v>
      </c>
      <c r="AE20" s="290">
        <v>105.76400000000001</v>
      </c>
      <c r="AF20" s="290">
        <v>5.7469999999999999</v>
      </c>
      <c r="AG20" s="290">
        <v>135.80000000000004</v>
      </c>
      <c r="AH20" s="290">
        <v>193.10400000000001</v>
      </c>
      <c r="AI20" s="290">
        <v>0</v>
      </c>
      <c r="AJ20" s="290">
        <v>0</v>
      </c>
      <c r="AK20" s="290">
        <v>0</v>
      </c>
      <c r="AL20" s="290">
        <v>59.898000000000003</v>
      </c>
      <c r="AM20" s="290">
        <v>363.24799999999993</v>
      </c>
      <c r="AN20" s="290">
        <v>79.082999999999998</v>
      </c>
      <c r="AO20" s="77"/>
      <c r="AP20" s="77"/>
      <c r="AQ20" s="77"/>
    </row>
    <row r="21" spans="1:43" ht="18.75" customHeight="1" x14ac:dyDescent="0.3">
      <c r="A21" s="288" t="s">
        <v>233</v>
      </c>
      <c r="B21" s="293">
        <v>124.80599999999994</v>
      </c>
      <c r="C21" s="293">
        <v>113.11399999999999</v>
      </c>
      <c r="D21" s="293">
        <v>0</v>
      </c>
      <c r="E21" s="293">
        <v>104.98699999999999</v>
      </c>
      <c r="F21" s="293">
        <v>2.421999999999997</v>
      </c>
      <c r="G21" s="293">
        <v>5.7050000000000001</v>
      </c>
      <c r="H21" s="293">
        <v>0</v>
      </c>
      <c r="I21" s="293">
        <v>11.692000000000013</v>
      </c>
      <c r="J21" s="293">
        <v>0</v>
      </c>
      <c r="K21" s="293">
        <v>0</v>
      </c>
      <c r="L21" s="293">
        <v>102.90199999999999</v>
      </c>
      <c r="M21" s="293">
        <v>7.7389999999999999</v>
      </c>
      <c r="N21" s="293">
        <v>2.4729999999999999</v>
      </c>
      <c r="O21" s="290">
        <v>355.06799999999993</v>
      </c>
      <c r="P21" s="290">
        <v>280.22399999999999</v>
      </c>
      <c r="Q21" s="290">
        <v>0</v>
      </c>
      <c r="R21" s="290">
        <v>149.56100000000004</v>
      </c>
      <c r="S21" s="290">
        <v>0</v>
      </c>
      <c r="T21" s="290">
        <v>130.66299999999995</v>
      </c>
      <c r="U21" s="290">
        <v>0</v>
      </c>
      <c r="V21" s="290">
        <v>74.844000000000008</v>
      </c>
      <c r="W21" s="290">
        <v>0</v>
      </c>
      <c r="X21" s="290">
        <v>0</v>
      </c>
      <c r="Y21" s="290">
        <v>4.3780000000000001</v>
      </c>
      <c r="Z21" s="290">
        <v>161.32400000000001</v>
      </c>
      <c r="AA21" s="290">
        <v>114.52199999999999</v>
      </c>
      <c r="AB21" s="290">
        <v>479.87399999999985</v>
      </c>
      <c r="AC21" s="290">
        <v>393.33799999999997</v>
      </c>
      <c r="AD21" s="290">
        <v>0</v>
      </c>
      <c r="AE21" s="290">
        <v>254.54800000000003</v>
      </c>
      <c r="AF21" s="290">
        <v>2.421999999999997</v>
      </c>
      <c r="AG21" s="290">
        <v>136.36799999999997</v>
      </c>
      <c r="AH21" s="290">
        <v>0</v>
      </c>
      <c r="AI21" s="290">
        <v>86.536000000000016</v>
      </c>
      <c r="AJ21" s="290">
        <v>0</v>
      </c>
      <c r="AK21" s="290">
        <v>0</v>
      </c>
      <c r="AL21" s="290">
        <v>107.27999999999999</v>
      </c>
      <c r="AM21" s="290">
        <v>169.06300000000002</v>
      </c>
      <c r="AN21" s="290">
        <v>116.99499999999999</v>
      </c>
      <c r="AO21" s="77"/>
      <c r="AP21" s="77"/>
      <c r="AQ21" s="77"/>
    </row>
    <row r="22" spans="1:43" ht="18.75" customHeight="1" x14ac:dyDescent="0.3">
      <c r="A22" s="288" t="s">
        <v>234</v>
      </c>
      <c r="B22" s="293">
        <v>86.26400000000001</v>
      </c>
      <c r="C22" s="293">
        <v>86.26400000000001</v>
      </c>
      <c r="D22" s="293">
        <v>0</v>
      </c>
      <c r="E22" s="293">
        <v>53.876999999999995</v>
      </c>
      <c r="F22" s="293">
        <v>32.387</v>
      </c>
      <c r="G22" s="293">
        <v>0</v>
      </c>
      <c r="H22" s="293">
        <v>0</v>
      </c>
      <c r="I22" s="293">
        <v>0</v>
      </c>
      <c r="J22" s="293">
        <v>0</v>
      </c>
      <c r="K22" s="293">
        <v>0</v>
      </c>
      <c r="L22" s="293">
        <v>86.26400000000001</v>
      </c>
      <c r="M22" s="293">
        <v>0</v>
      </c>
      <c r="N22" s="293">
        <v>0</v>
      </c>
      <c r="O22" s="290">
        <v>289.09099999999995</v>
      </c>
      <c r="P22" s="290">
        <v>261.45999999999998</v>
      </c>
      <c r="Q22" s="290">
        <v>0</v>
      </c>
      <c r="R22" s="290">
        <v>14.3</v>
      </c>
      <c r="S22" s="290">
        <v>16.744</v>
      </c>
      <c r="T22" s="290">
        <v>230.41599999999997</v>
      </c>
      <c r="U22" s="290">
        <v>0</v>
      </c>
      <c r="V22" s="290">
        <v>27.631</v>
      </c>
      <c r="W22" s="290">
        <v>0</v>
      </c>
      <c r="X22" s="290">
        <v>0</v>
      </c>
      <c r="Y22" s="290">
        <v>0</v>
      </c>
      <c r="Z22" s="290">
        <v>169.179</v>
      </c>
      <c r="AA22" s="290">
        <v>92.280999999999992</v>
      </c>
      <c r="AB22" s="290">
        <v>375.35499999999996</v>
      </c>
      <c r="AC22" s="290">
        <v>347.72399999999999</v>
      </c>
      <c r="AD22" s="290">
        <v>0</v>
      </c>
      <c r="AE22" s="290">
        <v>68.176999999999992</v>
      </c>
      <c r="AF22" s="290">
        <v>49.131</v>
      </c>
      <c r="AG22" s="290">
        <v>230.41599999999997</v>
      </c>
      <c r="AH22" s="290">
        <v>0</v>
      </c>
      <c r="AI22" s="290">
        <v>27.631</v>
      </c>
      <c r="AJ22" s="290">
        <v>0</v>
      </c>
      <c r="AK22" s="290">
        <v>0</v>
      </c>
      <c r="AL22" s="290">
        <v>86.26400000000001</v>
      </c>
      <c r="AM22" s="290">
        <v>169.179</v>
      </c>
      <c r="AN22" s="290">
        <v>92.280999999999992</v>
      </c>
      <c r="AO22" s="77"/>
      <c r="AP22" s="292"/>
      <c r="AQ22" s="77"/>
    </row>
    <row r="23" spans="1:43" ht="18.75" customHeight="1" x14ac:dyDescent="0.3">
      <c r="A23" s="288" t="s">
        <v>235</v>
      </c>
      <c r="B23" s="293">
        <v>106.797</v>
      </c>
      <c r="C23" s="293">
        <v>106.797</v>
      </c>
      <c r="D23" s="293">
        <v>20.39</v>
      </c>
      <c r="E23" s="293">
        <v>69.038999999999987</v>
      </c>
      <c r="F23" s="293">
        <v>0</v>
      </c>
      <c r="G23" s="293">
        <v>17.368000000000006</v>
      </c>
      <c r="H23" s="293">
        <v>0</v>
      </c>
      <c r="I23" s="293">
        <v>0</v>
      </c>
      <c r="J23" s="293">
        <v>0</v>
      </c>
      <c r="K23" s="293">
        <v>13.326000000000001</v>
      </c>
      <c r="L23" s="293">
        <v>93.471000000000004</v>
      </c>
      <c r="M23" s="293">
        <v>0</v>
      </c>
      <c r="N23" s="293">
        <v>0</v>
      </c>
      <c r="O23" s="290">
        <v>285.47399999999993</v>
      </c>
      <c r="P23" s="290">
        <v>264.6699999999999</v>
      </c>
      <c r="Q23" s="290">
        <v>1.048</v>
      </c>
      <c r="R23" s="290">
        <v>12.188000000000001</v>
      </c>
      <c r="S23" s="290">
        <v>0</v>
      </c>
      <c r="T23" s="290">
        <v>233.26799999999994</v>
      </c>
      <c r="U23" s="290">
        <v>18.166000000000004</v>
      </c>
      <c r="V23" s="290">
        <v>20.804000000000002</v>
      </c>
      <c r="W23" s="290">
        <v>0</v>
      </c>
      <c r="X23" s="290">
        <v>0</v>
      </c>
      <c r="Y23" s="290">
        <v>1.635</v>
      </c>
      <c r="Z23" s="290">
        <v>247.42399999999998</v>
      </c>
      <c r="AA23" s="290">
        <v>15.611000000000002</v>
      </c>
      <c r="AB23" s="290">
        <v>392.27099999999996</v>
      </c>
      <c r="AC23" s="290">
        <v>371.46699999999987</v>
      </c>
      <c r="AD23" s="290">
        <v>21.438000000000002</v>
      </c>
      <c r="AE23" s="290">
        <v>81.22699999999999</v>
      </c>
      <c r="AF23" s="290">
        <v>0</v>
      </c>
      <c r="AG23" s="290">
        <v>250.63599999999994</v>
      </c>
      <c r="AH23" s="290">
        <v>18.166000000000004</v>
      </c>
      <c r="AI23" s="290">
        <v>20.804000000000002</v>
      </c>
      <c r="AJ23" s="290">
        <v>0</v>
      </c>
      <c r="AK23" s="290">
        <v>13.326000000000001</v>
      </c>
      <c r="AL23" s="290">
        <v>95.106000000000009</v>
      </c>
      <c r="AM23" s="290">
        <v>247.42399999999998</v>
      </c>
      <c r="AN23" s="290">
        <v>15.611000000000002</v>
      </c>
      <c r="AO23" s="77"/>
      <c r="AP23" s="77"/>
      <c r="AQ23" s="77"/>
    </row>
    <row r="24" spans="1:43" ht="18.75" customHeight="1" x14ac:dyDescent="0.3">
      <c r="A24" s="288" t="s">
        <v>236</v>
      </c>
      <c r="B24" s="293">
        <v>22.087</v>
      </c>
      <c r="C24" s="293">
        <v>22.086999999999996</v>
      </c>
      <c r="D24" s="293">
        <v>0</v>
      </c>
      <c r="E24" s="293">
        <v>7.6430000000000007</v>
      </c>
      <c r="F24" s="293">
        <v>0</v>
      </c>
      <c r="G24" s="293">
        <v>14.443999999999997</v>
      </c>
      <c r="H24" s="293">
        <v>0</v>
      </c>
      <c r="I24" s="293">
        <v>0</v>
      </c>
      <c r="J24" s="293">
        <v>0</v>
      </c>
      <c r="K24" s="293">
        <v>5.4049999999999994</v>
      </c>
      <c r="L24" s="293">
        <v>16.681999999999999</v>
      </c>
      <c r="M24" s="293">
        <v>0</v>
      </c>
      <c r="N24" s="293">
        <v>0</v>
      </c>
      <c r="O24" s="290">
        <v>289.01599999999996</v>
      </c>
      <c r="P24" s="290">
        <v>253.67999999999998</v>
      </c>
      <c r="Q24" s="290">
        <v>2.5470000000000002</v>
      </c>
      <c r="R24" s="290">
        <v>24.531000000000002</v>
      </c>
      <c r="S24" s="290">
        <v>0.65600000000000003</v>
      </c>
      <c r="T24" s="290">
        <v>201.01399999999998</v>
      </c>
      <c r="U24" s="290">
        <v>24.932000000000002</v>
      </c>
      <c r="V24" s="290">
        <v>35.335999999999999</v>
      </c>
      <c r="W24" s="290">
        <v>0</v>
      </c>
      <c r="X24" s="290">
        <v>0</v>
      </c>
      <c r="Y24" s="290">
        <v>7.2390000000000008</v>
      </c>
      <c r="Z24" s="290">
        <v>222.74099999999999</v>
      </c>
      <c r="AA24" s="290">
        <v>23.7</v>
      </c>
      <c r="AB24" s="290">
        <v>311.10299999999995</v>
      </c>
      <c r="AC24" s="290">
        <v>275.767</v>
      </c>
      <c r="AD24" s="290">
        <v>2.5470000000000002</v>
      </c>
      <c r="AE24" s="290">
        <v>32.174000000000007</v>
      </c>
      <c r="AF24" s="290">
        <v>0.65600000000000003</v>
      </c>
      <c r="AG24" s="290">
        <v>215.45799999999997</v>
      </c>
      <c r="AH24" s="290">
        <v>24.932000000000002</v>
      </c>
      <c r="AI24" s="290">
        <v>35.335999999999999</v>
      </c>
      <c r="AJ24" s="290">
        <v>0</v>
      </c>
      <c r="AK24" s="290">
        <v>5.4049999999999994</v>
      </c>
      <c r="AL24" s="290">
        <v>23.920999999999999</v>
      </c>
      <c r="AM24" s="290">
        <v>222.74099999999999</v>
      </c>
      <c r="AN24" s="290">
        <v>23.7</v>
      </c>
      <c r="AO24" s="77"/>
      <c r="AP24" s="77"/>
      <c r="AQ24" s="77"/>
    </row>
    <row r="25" spans="1:43" ht="18.75" customHeight="1" x14ac:dyDescent="0.3">
      <c r="A25" s="288" t="s">
        <v>237</v>
      </c>
      <c r="B25" s="293">
        <v>95.52000000000001</v>
      </c>
      <c r="C25" s="293">
        <v>95.52</v>
      </c>
      <c r="D25" s="293">
        <v>0</v>
      </c>
      <c r="E25" s="293">
        <v>91.530999999999992</v>
      </c>
      <c r="F25" s="293">
        <v>3.9890000000000008</v>
      </c>
      <c r="G25" s="293">
        <v>0</v>
      </c>
      <c r="H25" s="293">
        <v>0</v>
      </c>
      <c r="I25" s="293">
        <v>0</v>
      </c>
      <c r="J25" s="293">
        <v>0</v>
      </c>
      <c r="K25" s="293">
        <v>0</v>
      </c>
      <c r="L25" s="293">
        <v>95.52</v>
      </c>
      <c r="M25" s="293">
        <v>0</v>
      </c>
      <c r="N25" s="293">
        <v>0</v>
      </c>
      <c r="O25" s="290">
        <v>136.76500000000004</v>
      </c>
      <c r="P25" s="290">
        <v>106.02200000000001</v>
      </c>
      <c r="Q25" s="290">
        <v>0.90800000000000036</v>
      </c>
      <c r="R25" s="290">
        <v>14.373999999999999</v>
      </c>
      <c r="S25" s="290">
        <v>41.333000000000006</v>
      </c>
      <c r="T25" s="290">
        <v>42.29</v>
      </c>
      <c r="U25" s="290">
        <v>7.1170000000000009</v>
      </c>
      <c r="V25" s="290">
        <v>30.742999999999999</v>
      </c>
      <c r="W25" s="290">
        <v>0</v>
      </c>
      <c r="X25" s="290">
        <v>0</v>
      </c>
      <c r="Y25" s="290">
        <v>3.5459999999999998</v>
      </c>
      <c r="Z25" s="290">
        <v>76.037000000000006</v>
      </c>
      <c r="AA25" s="290">
        <v>26.439</v>
      </c>
      <c r="AB25" s="290">
        <v>232.28500000000005</v>
      </c>
      <c r="AC25" s="290">
        <v>201.542</v>
      </c>
      <c r="AD25" s="290">
        <v>0.90800000000000036</v>
      </c>
      <c r="AE25" s="290">
        <v>105.90499999999999</v>
      </c>
      <c r="AF25" s="290">
        <v>45.322000000000003</v>
      </c>
      <c r="AG25" s="290">
        <v>42.29</v>
      </c>
      <c r="AH25" s="290">
        <v>7.1170000000000009</v>
      </c>
      <c r="AI25" s="290">
        <v>30.742999999999999</v>
      </c>
      <c r="AJ25" s="290">
        <v>0</v>
      </c>
      <c r="AK25" s="290">
        <v>0</v>
      </c>
      <c r="AL25" s="290">
        <v>99.066000000000003</v>
      </c>
      <c r="AM25" s="290">
        <v>76.037000000000006</v>
      </c>
      <c r="AN25" s="290">
        <v>26.439</v>
      </c>
      <c r="AO25" s="77"/>
      <c r="AP25" s="77"/>
      <c r="AQ25" s="77"/>
    </row>
    <row r="26" spans="1:43" ht="18.75" customHeight="1" x14ac:dyDescent="0.3">
      <c r="A26" s="288" t="s">
        <v>238</v>
      </c>
      <c r="B26" s="293">
        <v>153.61000000000001</v>
      </c>
      <c r="C26" s="293">
        <v>153.61000000000001</v>
      </c>
      <c r="D26" s="293">
        <v>0</v>
      </c>
      <c r="E26" s="293">
        <v>121.548</v>
      </c>
      <c r="F26" s="293">
        <v>0</v>
      </c>
      <c r="G26" s="293">
        <v>32.062000000000005</v>
      </c>
      <c r="H26" s="293">
        <v>0</v>
      </c>
      <c r="I26" s="293">
        <v>0</v>
      </c>
      <c r="J26" s="293">
        <v>0</v>
      </c>
      <c r="K26" s="293">
        <v>0</v>
      </c>
      <c r="L26" s="293">
        <v>121.548</v>
      </c>
      <c r="M26" s="293">
        <v>32.062000000000005</v>
      </c>
      <c r="N26" s="293">
        <v>0</v>
      </c>
      <c r="O26" s="290">
        <v>337.01</v>
      </c>
      <c r="P26" s="290">
        <v>259.34399999999999</v>
      </c>
      <c r="Q26" s="290">
        <v>0</v>
      </c>
      <c r="R26" s="290">
        <v>26.972000000000001</v>
      </c>
      <c r="S26" s="290">
        <v>19.355</v>
      </c>
      <c r="T26" s="290">
        <v>212.01999999999998</v>
      </c>
      <c r="U26" s="290">
        <v>0.997</v>
      </c>
      <c r="V26" s="290">
        <v>77.665999999999997</v>
      </c>
      <c r="W26" s="290">
        <v>0</v>
      </c>
      <c r="X26" s="290">
        <v>0</v>
      </c>
      <c r="Y26" s="290">
        <v>0</v>
      </c>
      <c r="Z26" s="290">
        <v>221.458</v>
      </c>
      <c r="AA26" s="290">
        <v>37.886000000000003</v>
      </c>
      <c r="AB26" s="290">
        <v>490.62</v>
      </c>
      <c r="AC26" s="290">
        <v>412.95400000000001</v>
      </c>
      <c r="AD26" s="290">
        <v>0</v>
      </c>
      <c r="AE26" s="290">
        <v>148.52000000000001</v>
      </c>
      <c r="AF26" s="290">
        <v>19.355</v>
      </c>
      <c r="AG26" s="290">
        <v>244.08199999999999</v>
      </c>
      <c r="AH26" s="290">
        <v>0.997</v>
      </c>
      <c r="AI26" s="290">
        <v>77.665999999999997</v>
      </c>
      <c r="AJ26" s="290">
        <v>0</v>
      </c>
      <c r="AK26" s="290">
        <v>0</v>
      </c>
      <c r="AL26" s="290">
        <v>121.548</v>
      </c>
      <c r="AM26" s="290">
        <v>253.52</v>
      </c>
      <c r="AN26" s="290">
        <v>37.886000000000003</v>
      </c>
      <c r="AO26" s="77"/>
      <c r="AP26" s="77"/>
      <c r="AQ26" s="77"/>
    </row>
    <row r="27" spans="1:43" s="63" customFormat="1" ht="18.75" customHeight="1" x14ac:dyDescent="0.3">
      <c r="A27" s="288" t="s">
        <v>239</v>
      </c>
      <c r="B27" s="294">
        <v>122.70099999999999</v>
      </c>
      <c r="C27" s="294">
        <v>122.70099999999999</v>
      </c>
      <c r="D27" s="294">
        <v>0</v>
      </c>
      <c r="E27" s="294">
        <v>62.945999999999998</v>
      </c>
      <c r="F27" s="294">
        <v>0</v>
      </c>
      <c r="G27" s="294">
        <v>59.75500000000001</v>
      </c>
      <c r="H27" s="294">
        <v>0</v>
      </c>
      <c r="I27" s="294">
        <v>0</v>
      </c>
      <c r="J27" s="294">
        <v>0</v>
      </c>
      <c r="K27" s="294">
        <v>0</v>
      </c>
      <c r="L27" s="294">
        <v>122.70099999999999</v>
      </c>
      <c r="M27" s="294">
        <v>0</v>
      </c>
      <c r="N27" s="294">
        <v>0</v>
      </c>
      <c r="O27" s="295">
        <v>475.59399999999994</v>
      </c>
      <c r="P27" s="295">
        <v>345.85199999999986</v>
      </c>
      <c r="Q27" s="295">
        <v>0</v>
      </c>
      <c r="R27" s="295">
        <v>7.1550000000000002</v>
      </c>
      <c r="S27" s="295">
        <v>22.477</v>
      </c>
      <c r="T27" s="295">
        <v>255.00100000000003</v>
      </c>
      <c r="U27" s="295">
        <v>61.219000000000008</v>
      </c>
      <c r="V27" s="295">
        <v>129.74200000000002</v>
      </c>
      <c r="W27" s="295">
        <v>0</v>
      </c>
      <c r="X27" s="295">
        <v>0</v>
      </c>
      <c r="Y27" s="295">
        <v>0</v>
      </c>
      <c r="Z27" s="295">
        <v>182.70399999999998</v>
      </c>
      <c r="AA27" s="295">
        <v>163.148</v>
      </c>
      <c r="AB27" s="295">
        <v>598.29499999999996</v>
      </c>
      <c r="AC27" s="295">
        <v>468.55299999999988</v>
      </c>
      <c r="AD27" s="295">
        <v>0</v>
      </c>
      <c r="AE27" s="295">
        <v>70.100999999999999</v>
      </c>
      <c r="AF27" s="295">
        <v>22.477</v>
      </c>
      <c r="AG27" s="295">
        <v>314.75600000000003</v>
      </c>
      <c r="AH27" s="295">
        <v>61.219000000000008</v>
      </c>
      <c r="AI27" s="295">
        <v>129.74200000000002</v>
      </c>
      <c r="AJ27" s="295">
        <v>0</v>
      </c>
      <c r="AK27" s="295">
        <v>0</v>
      </c>
      <c r="AL27" s="295">
        <v>122.70099999999999</v>
      </c>
      <c r="AM27" s="295">
        <v>182.70399999999998</v>
      </c>
      <c r="AN27" s="295">
        <v>163.148</v>
      </c>
      <c r="AO27" s="77"/>
      <c r="AP27" s="77"/>
      <c r="AQ27" s="77"/>
    </row>
    <row r="28" spans="1:43" ht="18.75" customHeight="1" x14ac:dyDescent="0.3">
      <c r="A28" s="288" t="s">
        <v>240</v>
      </c>
      <c r="B28" s="293">
        <v>112.44800000000001</v>
      </c>
      <c r="C28" s="293">
        <v>112.44799999999998</v>
      </c>
      <c r="D28" s="293">
        <v>0</v>
      </c>
      <c r="E28" s="293">
        <v>37.029999999999994</v>
      </c>
      <c r="F28" s="293">
        <v>1.9650000000000001</v>
      </c>
      <c r="G28" s="293">
        <v>73.452999999999989</v>
      </c>
      <c r="H28" s="293">
        <v>0</v>
      </c>
      <c r="I28" s="293">
        <v>0</v>
      </c>
      <c r="J28" s="293">
        <v>0</v>
      </c>
      <c r="K28" s="293">
        <v>0</v>
      </c>
      <c r="L28" s="293">
        <v>51.893999999999998</v>
      </c>
      <c r="M28" s="293">
        <v>60.553999999999988</v>
      </c>
      <c r="N28" s="293">
        <v>0</v>
      </c>
      <c r="O28" s="290">
        <v>510.01899999999989</v>
      </c>
      <c r="P28" s="290">
        <v>274.95999999999998</v>
      </c>
      <c r="Q28" s="290">
        <v>0</v>
      </c>
      <c r="R28" s="290">
        <v>22.091999999999992</v>
      </c>
      <c r="S28" s="290">
        <v>0</v>
      </c>
      <c r="T28" s="290">
        <v>208.40700000000004</v>
      </c>
      <c r="U28" s="290">
        <v>44.460999999999999</v>
      </c>
      <c r="V28" s="290">
        <v>235.05900000000005</v>
      </c>
      <c r="W28" s="290">
        <v>0</v>
      </c>
      <c r="X28" s="290">
        <v>0</v>
      </c>
      <c r="Y28" s="290">
        <v>21.291999999999991</v>
      </c>
      <c r="Z28" s="290">
        <v>152.83300000000003</v>
      </c>
      <c r="AA28" s="290">
        <v>100.83499999999999</v>
      </c>
      <c r="AB28" s="290">
        <v>622.46699999999987</v>
      </c>
      <c r="AC28" s="290">
        <v>387.40799999999996</v>
      </c>
      <c r="AD28" s="290">
        <v>0</v>
      </c>
      <c r="AE28" s="290">
        <v>59.121999999999986</v>
      </c>
      <c r="AF28" s="290">
        <v>1.9650000000000001</v>
      </c>
      <c r="AG28" s="290">
        <v>281.86</v>
      </c>
      <c r="AH28" s="290">
        <v>44.460999999999999</v>
      </c>
      <c r="AI28" s="290">
        <v>235.05900000000005</v>
      </c>
      <c r="AJ28" s="290">
        <v>0</v>
      </c>
      <c r="AK28" s="290">
        <v>0</v>
      </c>
      <c r="AL28" s="290">
        <v>73.185999999999993</v>
      </c>
      <c r="AM28" s="290">
        <v>213.387</v>
      </c>
      <c r="AN28" s="290">
        <v>100.83499999999999</v>
      </c>
      <c r="AO28" s="77"/>
      <c r="AP28" s="77"/>
      <c r="AQ28" s="77"/>
    </row>
    <row r="29" spans="1:43" ht="18.75" customHeight="1" x14ac:dyDescent="0.3">
      <c r="A29" s="288" t="s">
        <v>241</v>
      </c>
      <c r="B29" s="293">
        <v>38.933999999999997</v>
      </c>
      <c r="C29" s="293">
        <v>38.933999999999997</v>
      </c>
      <c r="D29" s="293">
        <v>0</v>
      </c>
      <c r="E29" s="293">
        <v>38.933999999999997</v>
      </c>
      <c r="F29" s="293">
        <v>0</v>
      </c>
      <c r="G29" s="293">
        <v>0</v>
      </c>
      <c r="H29" s="293">
        <v>0</v>
      </c>
      <c r="I29" s="293">
        <v>0</v>
      </c>
      <c r="J29" s="293">
        <v>0</v>
      </c>
      <c r="K29" s="293">
        <v>0</v>
      </c>
      <c r="L29" s="293">
        <v>38.933999999999997</v>
      </c>
      <c r="M29" s="293">
        <v>0</v>
      </c>
      <c r="N29" s="293">
        <v>0</v>
      </c>
      <c r="O29" s="290">
        <v>389.03000000000009</v>
      </c>
      <c r="P29" s="290">
        <v>178.06499999999997</v>
      </c>
      <c r="Q29" s="290">
        <v>0</v>
      </c>
      <c r="R29" s="290">
        <v>1.6019999999999999</v>
      </c>
      <c r="S29" s="290">
        <v>0</v>
      </c>
      <c r="T29" s="290">
        <v>130.07300000000001</v>
      </c>
      <c r="U29" s="290">
        <v>46.39</v>
      </c>
      <c r="V29" s="290">
        <v>210.96500000000003</v>
      </c>
      <c r="W29" s="290">
        <v>0</v>
      </c>
      <c r="X29" s="290">
        <v>0</v>
      </c>
      <c r="Y29" s="290">
        <v>0</v>
      </c>
      <c r="Z29" s="290">
        <v>163.25899999999999</v>
      </c>
      <c r="AA29" s="290">
        <v>14.806000000000001</v>
      </c>
      <c r="AB29" s="290">
        <v>427.96400000000006</v>
      </c>
      <c r="AC29" s="290">
        <v>216.99899999999997</v>
      </c>
      <c r="AD29" s="290">
        <v>0</v>
      </c>
      <c r="AE29" s="290">
        <v>40.535999999999994</v>
      </c>
      <c r="AF29" s="290">
        <v>0</v>
      </c>
      <c r="AG29" s="290">
        <v>130.07300000000001</v>
      </c>
      <c r="AH29" s="290">
        <v>46.39</v>
      </c>
      <c r="AI29" s="290">
        <v>210.96500000000003</v>
      </c>
      <c r="AJ29" s="290">
        <v>0</v>
      </c>
      <c r="AK29" s="290">
        <v>0</v>
      </c>
      <c r="AL29" s="290">
        <v>38.933999999999997</v>
      </c>
      <c r="AM29" s="290">
        <v>163.25899999999999</v>
      </c>
      <c r="AN29" s="290">
        <v>14.806000000000001</v>
      </c>
      <c r="AO29" s="77"/>
      <c r="AP29" s="77"/>
      <c r="AQ29" s="77"/>
    </row>
    <row r="30" spans="1:43" ht="18.75" customHeight="1" x14ac:dyDescent="0.3">
      <c r="A30" s="288" t="s">
        <v>242</v>
      </c>
      <c r="B30" s="293">
        <v>82.25800000000001</v>
      </c>
      <c r="C30" s="293">
        <v>82.257999999999996</v>
      </c>
      <c r="D30" s="293">
        <v>0</v>
      </c>
      <c r="E30" s="293">
        <v>66.322999999999993</v>
      </c>
      <c r="F30" s="293">
        <v>2.1189999999999962</v>
      </c>
      <c r="G30" s="293">
        <v>13.816000000000003</v>
      </c>
      <c r="H30" s="293">
        <v>0</v>
      </c>
      <c r="I30" s="293">
        <v>0</v>
      </c>
      <c r="J30" s="293">
        <v>0</v>
      </c>
      <c r="K30" s="293">
        <v>0</v>
      </c>
      <c r="L30" s="293">
        <v>26.228999999999999</v>
      </c>
      <c r="M30" s="293">
        <v>56.028999999999996</v>
      </c>
      <c r="N30" s="293">
        <v>0</v>
      </c>
      <c r="O30" s="290">
        <v>188.31600000000003</v>
      </c>
      <c r="P30" s="290">
        <v>188.31600000000003</v>
      </c>
      <c r="Q30" s="290">
        <v>0</v>
      </c>
      <c r="R30" s="290">
        <v>102.57599999999999</v>
      </c>
      <c r="S30" s="290">
        <v>21.143000000000001</v>
      </c>
      <c r="T30" s="290">
        <v>34.906999999999996</v>
      </c>
      <c r="U30" s="290">
        <v>29.690000000000005</v>
      </c>
      <c r="V30" s="290">
        <v>0</v>
      </c>
      <c r="W30" s="290">
        <v>0</v>
      </c>
      <c r="X30" s="290">
        <v>0</v>
      </c>
      <c r="Y30" s="290">
        <v>0</v>
      </c>
      <c r="Z30" s="290">
        <v>158.29400000000004</v>
      </c>
      <c r="AA30" s="290">
        <v>30.021999999999998</v>
      </c>
      <c r="AB30" s="290">
        <v>270.57400000000007</v>
      </c>
      <c r="AC30" s="290">
        <v>270.57400000000001</v>
      </c>
      <c r="AD30" s="290">
        <v>0</v>
      </c>
      <c r="AE30" s="290">
        <v>168.899</v>
      </c>
      <c r="AF30" s="290">
        <v>23.261999999999997</v>
      </c>
      <c r="AG30" s="290">
        <v>48.722999999999999</v>
      </c>
      <c r="AH30" s="290">
        <v>29.690000000000005</v>
      </c>
      <c r="AI30" s="290">
        <v>0</v>
      </c>
      <c r="AJ30" s="290">
        <v>0</v>
      </c>
      <c r="AK30" s="290">
        <v>0</v>
      </c>
      <c r="AL30" s="290">
        <v>26.228999999999999</v>
      </c>
      <c r="AM30" s="290">
        <v>214.32300000000004</v>
      </c>
      <c r="AN30" s="290">
        <v>30.021999999999998</v>
      </c>
      <c r="AO30" s="77"/>
      <c r="AP30" s="77"/>
      <c r="AQ30" s="77"/>
    </row>
    <row r="31" spans="1:43" ht="18.75" customHeight="1" x14ac:dyDescent="0.3">
      <c r="A31" s="288" t="s">
        <v>243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91">
        <v>281.666</v>
      </c>
      <c r="P31" s="291">
        <v>281.666</v>
      </c>
      <c r="Q31" s="291">
        <v>0.39700000000000002</v>
      </c>
      <c r="R31" s="291">
        <v>116.288</v>
      </c>
      <c r="S31" s="291">
        <v>0</v>
      </c>
      <c r="T31" s="291">
        <v>52.281000000000006</v>
      </c>
      <c r="U31" s="291">
        <v>112.69999999999999</v>
      </c>
      <c r="V31" s="291">
        <v>0</v>
      </c>
      <c r="W31" s="291">
        <v>0</v>
      </c>
      <c r="X31" s="291">
        <v>5.1180000000000003</v>
      </c>
      <c r="Y31" s="291">
        <v>10.670999999999999</v>
      </c>
      <c r="Z31" s="291">
        <v>244.60599999999999</v>
      </c>
      <c r="AA31" s="291">
        <v>21.271000000000001</v>
      </c>
      <c r="AB31" s="291">
        <v>281.666</v>
      </c>
      <c r="AC31" s="291">
        <v>281.666</v>
      </c>
      <c r="AD31" s="291">
        <v>0.39700000000000002</v>
      </c>
      <c r="AE31" s="291">
        <v>116.288</v>
      </c>
      <c r="AF31" s="291">
        <v>0</v>
      </c>
      <c r="AG31" s="291">
        <v>52.281000000000006</v>
      </c>
      <c r="AH31" s="291">
        <v>112.69999999999999</v>
      </c>
      <c r="AI31" s="291">
        <v>0</v>
      </c>
      <c r="AJ31" s="291">
        <v>0</v>
      </c>
      <c r="AK31" s="291">
        <v>5.1180000000000003</v>
      </c>
      <c r="AL31" s="291">
        <v>10.670999999999999</v>
      </c>
      <c r="AM31" s="291">
        <v>244.60599999999999</v>
      </c>
      <c r="AN31" s="291">
        <v>21.271000000000001</v>
      </c>
      <c r="AO31" s="77"/>
      <c r="AP31" s="77"/>
      <c r="AQ31" s="77"/>
    </row>
    <row r="32" spans="1:43" ht="18.75" customHeight="1" x14ac:dyDescent="0.3">
      <c r="A32" s="288" t="s">
        <v>244</v>
      </c>
      <c r="B32" s="289">
        <f>Лист1Новосибирский!G21</f>
        <v>88.72</v>
      </c>
      <c r="C32" s="289">
        <f>Лист1Новосибирский!H21</f>
        <v>88.720000000000013</v>
      </c>
      <c r="D32" s="289">
        <f>Лист1Новосибирский!I21</f>
        <v>1.78</v>
      </c>
      <c r="E32" s="289">
        <f>Лист1Новосибирский!J21</f>
        <v>86.940000000000012</v>
      </c>
      <c r="F32" s="289">
        <f>Лист1Новосибирский!K21</f>
        <v>0</v>
      </c>
      <c r="G32" s="289">
        <f>Лист1Новосибирский!L21</f>
        <v>0</v>
      </c>
      <c r="H32" s="289">
        <f>Лист1Новосибирский!M21</f>
        <v>0</v>
      </c>
      <c r="I32" s="289">
        <f>Лист1Новосибирский!N21</f>
        <v>0</v>
      </c>
      <c r="J32" s="289">
        <f>Лист1Новосибирский!O21</f>
        <v>13.58</v>
      </c>
      <c r="K32" s="289">
        <f>Лист1Новосибирский!P21</f>
        <v>75.140000000000015</v>
      </c>
      <c r="L32" s="289">
        <f>Лист1Новосибирский!Q21</f>
        <v>0</v>
      </c>
      <c r="M32" s="289">
        <f>Лист1Новосибирский!R21</f>
        <v>0</v>
      </c>
      <c r="N32" s="289">
        <f>Лист1Новосибирский!S21</f>
        <v>0</v>
      </c>
      <c r="O32" s="291">
        <f>Лист1Новосибирский!G77</f>
        <v>238.86099999999996</v>
      </c>
      <c r="P32" s="291">
        <f>Лист1Новосибирский!H77</f>
        <v>238.86099999999996</v>
      </c>
      <c r="Q32" s="291">
        <f>Лист1Новосибирский!I77</f>
        <v>18.337</v>
      </c>
      <c r="R32" s="291">
        <f>Лист1Новосибирский!J77</f>
        <v>185.01100000000002</v>
      </c>
      <c r="S32" s="291">
        <f>Лист1Новосибирский!K77</f>
        <v>7.5380000000000003</v>
      </c>
      <c r="T32" s="291">
        <f>Лист1Новосибирский!L77</f>
        <v>27.974999999999998</v>
      </c>
      <c r="U32" s="291">
        <f>Лист1Новосибирский!M77</f>
        <v>0</v>
      </c>
      <c r="V32" s="291">
        <f>Лист1Новосибирский!N77</f>
        <v>0</v>
      </c>
      <c r="W32" s="291">
        <f>Лист1Новосибирский!O77</f>
        <v>7.8819999999999997</v>
      </c>
      <c r="X32" s="291">
        <f>Лист1Новосибирский!P77</f>
        <v>13.423</v>
      </c>
      <c r="Y32" s="291">
        <f>Лист1Новосибирский!Q77</f>
        <v>50.51</v>
      </c>
      <c r="Z32" s="291">
        <f>Лист1Новосибирский!R77</f>
        <v>161.85699999999997</v>
      </c>
      <c r="AA32" s="291">
        <f>Лист1Новосибирский!S77</f>
        <v>5.1890000000000001</v>
      </c>
      <c r="AB32" s="291">
        <f>Лист1Новосибирский!G79</f>
        <v>327.58099999999996</v>
      </c>
      <c r="AC32" s="291">
        <f>Лист1Новосибирский!H79</f>
        <v>327.58099999999996</v>
      </c>
      <c r="AD32" s="291">
        <f>Лист1Новосибирский!I79</f>
        <v>20.117000000000001</v>
      </c>
      <c r="AE32" s="291">
        <f>Лист1Новосибирский!J79</f>
        <v>271.95100000000002</v>
      </c>
      <c r="AF32" s="291">
        <f>Лист1Новосибирский!K79</f>
        <v>7.5380000000000003</v>
      </c>
      <c r="AG32" s="291">
        <f>Лист1Новосибирский!L79</f>
        <v>27.974999999999998</v>
      </c>
      <c r="AH32" s="291">
        <f>Лист1Новосибирский!M79</f>
        <v>0</v>
      </c>
      <c r="AI32" s="291">
        <f>Лист1Новосибирский!N79</f>
        <v>0</v>
      </c>
      <c r="AJ32" s="291">
        <f>Лист1Новосибирский!O79</f>
        <v>21.462</v>
      </c>
      <c r="AK32" s="291">
        <f>Лист1Новосибирский!P79</f>
        <v>88.563000000000017</v>
      </c>
      <c r="AL32" s="291">
        <f>Лист1Новосибирский!Q79</f>
        <v>50.51</v>
      </c>
      <c r="AM32" s="291">
        <f>Лист1Новосибирский!R79</f>
        <v>161.85699999999997</v>
      </c>
      <c r="AN32" s="291">
        <f>Лист1Новосибирский!S79</f>
        <v>5.1890000000000001</v>
      </c>
      <c r="AO32" s="77"/>
      <c r="AP32" s="77"/>
      <c r="AQ32" s="77"/>
    </row>
    <row r="33" spans="1:43" ht="18.75" customHeight="1" x14ac:dyDescent="0.3">
      <c r="A33" s="288" t="s">
        <v>245</v>
      </c>
      <c r="B33" s="289">
        <v>196.62699999999998</v>
      </c>
      <c r="C33" s="289">
        <v>193.62899999999996</v>
      </c>
      <c r="D33" s="289">
        <v>0</v>
      </c>
      <c r="E33" s="289">
        <v>173.00299999999999</v>
      </c>
      <c r="F33" s="289">
        <v>0</v>
      </c>
      <c r="G33" s="289">
        <v>20.626000000000001</v>
      </c>
      <c r="H33" s="289">
        <v>0</v>
      </c>
      <c r="I33" s="289">
        <v>2.9980000000000011</v>
      </c>
      <c r="J33" s="289">
        <v>0</v>
      </c>
      <c r="K33" s="289">
        <v>59</v>
      </c>
      <c r="L33" s="289">
        <v>94.293999999999997</v>
      </c>
      <c r="M33" s="289">
        <v>23.558000000000003</v>
      </c>
      <c r="N33" s="289">
        <v>16.777000000000001</v>
      </c>
      <c r="O33" s="295">
        <v>289.77200000000005</v>
      </c>
      <c r="P33" s="295">
        <v>272.786</v>
      </c>
      <c r="Q33" s="295">
        <v>0</v>
      </c>
      <c r="R33" s="295">
        <v>34.982999999999997</v>
      </c>
      <c r="S33" s="295">
        <v>0</v>
      </c>
      <c r="T33" s="295">
        <v>212.35699999999997</v>
      </c>
      <c r="U33" s="295">
        <v>25.446000000000002</v>
      </c>
      <c r="V33" s="295">
        <v>16.985999999999997</v>
      </c>
      <c r="W33" s="295">
        <v>0</v>
      </c>
      <c r="X33" s="295">
        <v>0</v>
      </c>
      <c r="Y33" s="295">
        <v>0</v>
      </c>
      <c r="Z33" s="295">
        <v>257.93299999999999</v>
      </c>
      <c r="AA33" s="295">
        <v>14.853000000000002</v>
      </c>
      <c r="AB33" s="291">
        <v>486.399</v>
      </c>
      <c r="AC33" s="291">
        <v>466.41499999999996</v>
      </c>
      <c r="AD33" s="291">
        <v>0</v>
      </c>
      <c r="AE33" s="291">
        <v>207.98599999999999</v>
      </c>
      <c r="AF33" s="291">
        <v>0</v>
      </c>
      <c r="AG33" s="291">
        <v>232.98299999999998</v>
      </c>
      <c r="AH33" s="291">
        <v>25.446000000000002</v>
      </c>
      <c r="AI33" s="291">
        <v>19.983999999999998</v>
      </c>
      <c r="AJ33" s="291">
        <v>0</v>
      </c>
      <c r="AK33" s="291">
        <v>59</v>
      </c>
      <c r="AL33" s="291">
        <v>94.293999999999997</v>
      </c>
      <c r="AM33" s="291">
        <v>281.49099999999999</v>
      </c>
      <c r="AN33" s="291">
        <v>31.630000000000003</v>
      </c>
      <c r="AO33" s="77"/>
      <c r="AP33" s="77"/>
      <c r="AQ33" s="77"/>
    </row>
    <row r="34" spans="1:43" s="63" customFormat="1" ht="18.75" customHeight="1" x14ac:dyDescent="0.3">
      <c r="A34" s="288" t="s">
        <v>246</v>
      </c>
      <c r="B34" s="296">
        <v>115.12199999999999</v>
      </c>
      <c r="C34" s="296">
        <v>100.90700000000001</v>
      </c>
      <c r="D34" s="296">
        <v>1.7</v>
      </c>
      <c r="E34" s="296">
        <v>57.193000000000005</v>
      </c>
      <c r="F34" s="296">
        <v>0</v>
      </c>
      <c r="G34" s="296">
        <v>42.013999999999996</v>
      </c>
      <c r="H34" s="296">
        <v>0</v>
      </c>
      <c r="I34" s="296">
        <v>14.214999999999989</v>
      </c>
      <c r="J34" s="296">
        <v>0</v>
      </c>
      <c r="K34" s="296">
        <v>0</v>
      </c>
      <c r="L34" s="296">
        <v>57.506000000000007</v>
      </c>
      <c r="M34" s="296">
        <v>43.400999999999996</v>
      </c>
      <c r="N34" s="296">
        <v>0</v>
      </c>
      <c r="O34" s="290">
        <v>217.667</v>
      </c>
      <c r="P34" s="290">
        <v>151.96900000000002</v>
      </c>
      <c r="Q34" s="290">
        <v>0</v>
      </c>
      <c r="R34" s="290">
        <v>4.76</v>
      </c>
      <c r="S34" s="290">
        <v>0</v>
      </c>
      <c r="T34" s="290">
        <v>147.20900000000003</v>
      </c>
      <c r="U34" s="290">
        <v>0</v>
      </c>
      <c r="V34" s="290">
        <v>65.697999999999993</v>
      </c>
      <c r="W34" s="290">
        <v>0</v>
      </c>
      <c r="X34" s="290">
        <v>0</v>
      </c>
      <c r="Y34" s="290">
        <v>2.2370000000000001</v>
      </c>
      <c r="Z34" s="290">
        <v>114.95100000000001</v>
      </c>
      <c r="AA34" s="290">
        <v>34.780999999999999</v>
      </c>
      <c r="AB34" s="297">
        <v>332.78899999999999</v>
      </c>
      <c r="AC34" s="297">
        <v>252.87600000000003</v>
      </c>
      <c r="AD34" s="297">
        <v>1.7</v>
      </c>
      <c r="AE34" s="297">
        <v>61.953000000000003</v>
      </c>
      <c r="AF34" s="297">
        <v>0</v>
      </c>
      <c r="AG34" s="297">
        <v>189.22300000000001</v>
      </c>
      <c r="AH34" s="297">
        <v>0</v>
      </c>
      <c r="AI34" s="297">
        <v>79.912999999999982</v>
      </c>
      <c r="AJ34" s="297">
        <v>0</v>
      </c>
      <c r="AK34" s="297">
        <v>0</v>
      </c>
      <c r="AL34" s="297">
        <v>59.743000000000009</v>
      </c>
      <c r="AM34" s="297">
        <v>158.352</v>
      </c>
      <c r="AN34" s="297">
        <v>34.780999999999999</v>
      </c>
      <c r="AO34" s="77"/>
      <c r="AP34" s="77"/>
      <c r="AQ34" s="77"/>
    </row>
    <row r="35" spans="1:43" s="63" customFormat="1" ht="18.75" customHeight="1" x14ac:dyDescent="0.3">
      <c r="A35" s="288" t="s">
        <v>247</v>
      </c>
      <c r="B35" s="296">
        <v>121.482</v>
      </c>
      <c r="C35" s="296">
        <v>121.48200000000003</v>
      </c>
      <c r="D35" s="296">
        <v>0</v>
      </c>
      <c r="E35" s="296">
        <v>72.571000000000012</v>
      </c>
      <c r="F35" s="296">
        <v>0</v>
      </c>
      <c r="G35" s="296">
        <v>31.700999999999993</v>
      </c>
      <c r="H35" s="296">
        <v>17.210000000000015</v>
      </c>
      <c r="I35" s="296">
        <v>0</v>
      </c>
      <c r="J35" s="296">
        <v>0</v>
      </c>
      <c r="K35" s="296">
        <v>0</v>
      </c>
      <c r="L35" s="296">
        <v>39.21</v>
      </c>
      <c r="M35" s="296">
        <v>82.27200000000002</v>
      </c>
      <c r="N35" s="296">
        <v>0</v>
      </c>
      <c r="O35" s="290">
        <v>231.14600000000002</v>
      </c>
      <c r="P35" s="290">
        <v>205.58600000000001</v>
      </c>
      <c r="Q35" s="290">
        <v>0.39100000000000001</v>
      </c>
      <c r="R35" s="290">
        <v>55.482000000000006</v>
      </c>
      <c r="S35" s="290">
        <v>0</v>
      </c>
      <c r="T35" s="290">
        <v>149.71299999999997</v>
      </c>
      <c r="U35" s="290">
        <v>0</v>
      </c>
      <c r="V35" s="290">
        <v>25.56</v>
      </c>
      <c r="W35" s="290">
        <v>0</v>
      </c>
      <c r="X35" s="290">
        <v>0</v>
      </c>
      <c r="Y35" s="290">
        <v>0</v>
      </c>
      <c r="Z35" s="290">
        <v>203.98599999999999</v>
      </c>
      <c r="AA35" s="290">
        <v>1.6</v>
      </c>
      <c r="AB35" s="297">
        <v>352.62800000000004</v>
      </c>
      <c r="AC35" s="297">
        <v>327.06800000000004</v>
      </c>
      <c r="AD35" s="297">
        <v>0.39100000000000001</v>
      </c>
      <c r="AE35" s="297">
        <v>128.05300000000003</v>
      </c>
      <c r="AF35" s="297">
        <v>0</v>
      </c>
      <c r="AG35" s="297">
        <v>181.41399999999996</v>
      </c>
      <c r="AH35" s="297">
        <v>17.210000000000015</v>
      </c>
      <c r="AI35" s="297">
        <v>25.56</v>
      </c>
      <c r="AJ35" s="297">
        <v>0</v>
      </c>
      <c r="AK35" s="297">
        <v>0</v>
      </c>
      <c r="AL35" s="297">
        <v>39.21</v>
      </c>
      <c r="AM35" s="297">
        <v>286.25800000000004</v>
      </c>
      <c r="AN35" s="297">
        <v>1.6</v>
      </c>
      <c r="AO35" s="77"/>
      <c r="AP35" s="77"/>
      <c r="AQ35" s="77"/>
    </row>
    <row r="36" spans="1:43" ht="18.75" customHeight="1" x14ac:dyDescent="0.3">
      <c r="A36" s="288" t="s">
        <v>248</v>
      </c>
      <c r="B36" s="289">
        <v>85.121000000000009</v>
      </c>
      <c r="C36" s="289">
        <v>85.121000000000024</v>
      </c>
      <c r="D36" s="289">
        <v>0</v>
      </c>
      <c r="E36" s="289">
        <v>46.047000000000004</v>
      </c>
      <c r="F36" s="289">
        <v>0</v>
      </c>
      <c r="G36" s="289">
        <v>39.074000000000012</v>
      </c>
      <c r="H36" s="289">
        <v>-1.1102230246251565E-15</v>
      </c>
      <c r="I36" s="289">
        <v>0</v>
      </c>
      <c r="J36" s="289">
        <v>0</v>
      </c>
      <c r="K36" s="289">
        <v>0</v>
      </c>
      <c r="L36" s="289">
        <v>46.047000000000004</v>
      </c>
      <c r="M36" s="289">
        <v>39.074000000000012</v>
      </c>
      <c r="N36" s="289">
        <v>0</v>
      </c>
      <c r="O36" s="290">
        <v>500.53999999999979</v>
      </c>
      <c r="P36" s="290">
        <v>429.39999999999992</v>
      </c>
      <c r="Q36" s="290">
        <v>1.6970000000000001</v>
      </c>
      <c r="R36" s="290">
        <v>44.742000000000012</v>
      </c>
      <c r="S36" s="290">
        <v>4.2340000000000018</v>
      </c>
      <c r="T36" s="290">
        <v>312.01900000000001</v>
      </c>
      <c r="U36" s="290">
        <v>66.707999999999998</v>
      </c>
      <c r="V36" s="290">
        <v>71.139999999999986</v>
      </c>
      <c r="W36" s="290">
        <v>0</v>
      </c>
      <c r="X36" s="290">
        <v>0</v>
      </c>
      <c r="Y36" s="290">
        <v>0</v>
      </c>
      <c r="Z36" s="290">
        <v>308.20300000000003</v>
      </c>
      <c r="AA36" s="290">
        <v>121.19700000000002</v>
      </c>
      <c r="AB36" s="290">
        <v>585.66099999999983</v>
      </c>
      <c r="AC36" s="290">
        <v>514.52099999999996</v>
      </c>
      <c r="AD36" s="290">
        <v>1.6970000000000001</v>
      </c>
      <c r="AE36" s="290">
        <v>90.789000000000016</v>
      </c>
      <c r="AF36" s="290">
        <v>4.2340000000000018</v>
      </c>
      <c r="AG36" s="290">
        <v>351.09300000000002</v>
      </c>
      <c r="AH36" s="290">
        <v>66.707999999999998</v>
      </c>
      <c r="AI36" s="290">
        <v>71.139999999999986</v>
      </c>
      <c r="AJ36" s="290">
        <v>0</v>
      </c>
      <c r="AK36" s="290">
        <v>0</v>
      </c>
      <c r="AL36" s="290">
        <v>46.047000000000004</v>
      </c>
      <c r="AM36" s="290">
        <v>347.27700000000004</v>
      </c>
      <c r="AN36" s="290">
        <v>121.19700000000002</v>
      </c>
      <c r="AO36" s="77"/>
      <c r="AP36" s="77"/>
      <c r="AQ36" s="77"/>
    </row>
    <row r="37" spans="1:43" ht="18.75" customHeight="1" x14ac:dyDescent="0.3">
      <c r="A37" s="288" t="s">
        <v>249</v>
      </c>
      <c r="B37" s="289">
        <v>347.65899999999999</v>
      </c>
      <c r="C37" s="289">
        <v>347.65899999999999</v>
      </c>
      <c r="D37" s="289">
        <v>0</v>
      </c>
      <c r="E37" s="289">
        <v>186.98500000000001</v>
      </c>
      <c r="F37" s="289">
        <v>41.398999999999994</v>
      </c>
      <c r="G37" s="289">
        <v>119.27499999999999</v>
      </c>
      <c r="H37" s="289">
        <v>0</v>
      </c>
      <c r="I37" s="289">
        <v>0</v>
      </c>
      <c r="J37" s="289">
        <v>0</v>
      </c>
      <c r="K37" s="289">
        <v>0</v>
      </c>
      <c r="L37" s="289">
        <v>168.72800000000001</v>
      </c>
      <c r="M37" s="289">
        <v>169.69599999999997</v>
      </c>
      <c r="N37" s="289">
        <v>9.2349999999999994</v>
      </c>
      <c r="O37" s="291">
        <v>344.40999999999997</v>
      </c>
      <c r="P37" s="291">
        <v>344.40999999999997</v>
      </c>
      <c r="Q37" s="291">
        <v>2.3769999999999998</v>
      </c>
      <c r="R37" s="291">
        <v>47.330000000000013</v>
      </c>
      <c r="S37" s="291">
        <v>50.320999999999991</v>
      </c>
      <c r="T37" s="291">
        <v>169.03200000000001</v>
      </c>
      <c r="U37" s="291">
        <v>75.350000000000009</v>
      </c>
      <c r="V37" s="291">
        <v>0</v>
      </c>
      <c r="W37" s="291">
        <v>0</v>
      </c>
      <c r="X37" s="291">
        <v>0</v>
      </c>
      <c r="Y37" s="291">
        <v>4.3209999999999997</v>
      </c>
      <c r="Z37" s="291">
        <v>278.88</v>
      </c>
      <c r="AA37" s="291">
        <v>61.208999999999996</v>
      </c>
      <c r="AB37" s="291">
        <v>692.06899999999996</v>
      </c>
      <c r="AC37" s="291">
        <v>692.06899999999996</v>
      </c>
      <c r="AD37" s="291">
        <v>2.3769999999999998</v>
      </c>
      <c r="AE37" s="291">
        <v>234.31500000000003</v>
      </c>
      <c r="AF37" s="291">
        <v>91.719999999999985</v>
      </c>
      <c r="AG37" s="291">
        <v>288.30700000000002</v>
      </c>
      <c r="AH37" s="291">
        <v>75.350000000000009</v>
      </c>
      <c r="AI37" s="291">
        <v>0</v>
      </c>
      <c r="AJ37" s="291">
        <v>0</v>
      </c>
      <c r="AK37" s="291">
        <v>0</v>
      </c>
      <c r="AL37" s="291">
        <v>173.04900000000001</v>
      </c>
      <c r="AM37" s="291">
        <v>448.57599999999996</v>
      </c>
      <c r="AN37" s="291">
        <v>70.443999999999988</v>
      </c>
      <c r="AO37" s="77"/>
      <c r="AP37" s="77"/>
      <c r="AQ37" s="77"/>
    </row>
    <row r="38" spans="1:43" ht="18.75" customHeight="1" x14ac:dyDescent="0.3">
      <c r="A38" s="288" t="s">
        <v>250</v>
      </c>
      <c r="B38" s="289">
        <v>9.7230000000000008</v>
      </c>
      <c r="C38" s="289">
        <v>9.7230000000000008</v>
      </c>
      <c r="D38" s="289">
        <v>3.004</v>
      </c>
      <c r="E38" s="289">
        <v>6.7190000000000012</v>
      </c>
      <c r="F38" s="289">
        <v>0</v>
      </c>
      <c r="G38" s="289">
        <v>0</v>
      </c>
      <c r="H38" s="289">
        <v>0</v>
      </c>
      <c r="I38" s="289">
        <v>0</v>
      </c>
      <c r="J38" s="289">
        <v>0</v>
      </c>
      <c r="K38" s="289">
        <v>0</v>
      </c>
      <c r="L38" s="289">
        <v>9.7230000000000008</v>
      </c>
      <c r="M38" s="289">
        <v>0</v>
      </c>
      <c r="N38" s="289">
        <v>0</v>
      </c>
      <c r="O38" s="291">
        <v>347.12699999999995</v>
      </c>
      <c r="P38" s="291">
        <v>275.84099999999995</v>
      </c>
      <c r="Q38" s="291">
        <v>0</v>
      </c>
      <c r="R38" s="291">
        <v>9.34</v>
      </c>
      <c r="S38" s="291">
        <v>0</v>
      </c>
      <c r="T38" s="291">
        <v>221.01099999999997</v>
      </c>
      <c r="U38" s="291">
        <v>45.489999999999995</v>
      </c>
      <c r="V38" s="291">
        <v>71.286000000000001</v>
      </c>
      <c r="W38" s="291">
        <v>0</v>
      </c>
      <c r="X38" s="291">
        <v>0</v>
      </c>
      <c r="Y38" s="291">
        <v>0</v>
      </c>
      <c r="Z38" s="291">
        <v>212.70199999999997</v>
      </c>
      <c r="AA38" s="291">
        <v>63.139000000000003</v>
      </c>
      <c r="AB38" s="291">
        <v>356.84999999999997</v>
      </c>
      <c r="AC38" s="291">
        <v>285.56399999999996</v>
      </c>
      <c r="AD38" s="291">
        <v>3.004</v>
      </c>
      <c r="AE38" s="291">
        <v>16.059000000000001</v>
      </c>
      <c r="AF38" s="291">
        <v>0</v>
      </c>
      <c r="AG38" s="291">
        <v>221.01099999999997</v>
      </c>
      <c r="AH38" s="291">
        <v>45.489999999999995</v>
      </c>
      <c r="AI38" s="291">
        <v>71.286000000000001</v>
      </c>
      <c r="AJ38" s="291">
        <v>0</v>
      </c>
      <c r="AK38" s="291">
        <v>0</v>
      </c>
      <c r="AL38" s="291">
        <v>9.7230000000000008</v>
      </c>
      <c r="AM38" s="291">
        <v>212.70199999999997</v>
      </c>
      <c r="AN38" s="291">
        <v>63.139000000000003</v>
      </c>
      <c r="AO38" s="77"/>
      <c r="AP38" s="77"/>
      <c r="AQ38" s="77"/>
    </row>
    <row r="39" spans="1:43" ht="18.75" customHeight="1" x14ac:dyDescent="0.3">
      <c r="A39" s="288" t="s">
        <v>251</v>
      </c>
      <c r="B39" s="289">
        <v>86.025000000000006</v>
      </c>
      <c r="C39" s="289">
        <v>78.812000000000012</v>
      </c>
      <c r="D39" s="289">
        <v>0</v>
      </c>
      <c r="E39" s="289">
        <v>18.344000000000023</v>
      </c>
      <c r="F39" s="289">
        <v>0</v>
      </c>
      <c r="G39" s="289">
        <v>60.467999999999989</v>
      </c>
      <c r="H39" s="289">
        <v>0</v>
      </c>
      <c r="I39" s="289">
        <v>7.2129999999999939</v>
      </c>
      <c r="J39" s="289">
        <v>0</v>
      </c>
      <c r="K39" s="289">
        <v>0</v>
      </c>
      <c r="L39" s="289">
        <v>64.108999999999995</v>
      </c>
      <c r="M39" s="289">
        <v>14.703000000000017</v>
      </c>
      <c r="N39" s="289">
        <v>0</v>
      </c>
      <c r="O39" s="291">
        <v>369.89600000000002</v>
      </c>
      <c r="P39" s="291">
        <v>198.31700000000001</v>
      </c>
      <c r="Q39" s="291">
        <v>0</v>
      </c>
      <c r="R39" s="291">
        <v>52.951999999999998</v>
      </c>
      <c r="S39" s="291">
        <v>0</v>
      </c>
      <c r="T39" s="291">
        <v>145.10399999999998</v>
      </c>
      <c r="U39" s="291">
        <v>0.26100000000000001</v>
      </c>
      <c r="V39" s="291">
        <v>171.57899999999998</v>
      </c>
      <c r="W39" s="291">
        <v>0</v>
      </c>
      <c r="X39" s="291">
        <v>0</v>
      </c>
      <c r="Y39" s="291">
        <v>0</v>
      </c>
      <c r="Z39" s="291">
        <v>109.19000000000001</v>
      </c>
      <c r="AA39" s="291">
        <v>89.126999999999981</v>
      </c>
      <c r="AB39" s="291">
        <v>455.92100000000005</v>
      </c>
      <c r="AC39" s="291">
        <v>277.12900000000002</v>
      </c>
      <c r="AD39" s="291">
        <v>0</v>
      </c>
      <c r="AE39" s="291">
        <v>71.296000000000021</v>
      </c>
      <c r="AF39" s="291">
        <v>0</v>
      </c>
      <c r="AG39" s="291">
        <v>205.57199999999997</v>
      </c>
      <c r="AH39" s="291">
        <v>0.26100000000000001</v>
      </c>
      <c r="AI39" s="291">
        <v>178.79199999999997</v>
      </c>
      <c r="AJ39" s="291">
        <v>0</v>
      </c>
      <c r="AK39" s="291">
        <v>0</v>
      </c>
      <c r="AL39" s="291">
        <v>64.108999999999995</v>
      </c>
      <c r="AM39" s="291">
        <v>123.89300000000003</v>
      </c>
      <c r="AN39" s="291">
        <v>89.126999999999981</v>
      </c>
      <c r="AO39" s="77"/>
      <c r="AP39" s="77"/>
      <c r="AQ39" s="77"/>
    </row>
    <row r="40" spans="1:43" ht="18.75" customHeight="1" x14ac:dyDescent="0.3">
      <c r="A40" s="288" t="s">
        <v>252</v>
      </c>
      <c r="B40" s="289">
        <v>58.045999999999992</v>
      </c>
      <c r="C40" s="289">
        <v>58.046000000000006</v>
      </c>
      <c r="D40" s="289">
        <v>0</v>
      </c>
      <c r="E40" s="289">
        <v>33.914000000000001</v>
      </c>
      <c r="F40" s="289">
        <v>0</v>
      </c>
      <c r="G40" s="289">
        <v>24.132000000000001</v>
      </c>
      <c r="H40" s="289">
        <v>0</v>
      </c>
      <c r="I40" s="289">
        <v>0</v>
      </c>
      <c r="J40" s="289">
        <v>0</v>
      </c>
      <c r="K40" s="289">
        <v>0</v>
      </c>
      <c r="L40" s="289">
        <v>55.05599999999999</v>
      </c>
      <c r="M40" s="289">
        <v>2.99</v>
      </c>
      <c r="N40" s="289">
        <v>0</v>
      </c>
      <c r="O40" s="291">
        <v>437.58899999999994</v>
      </c>
      <c r="P40" s="291">
        <v>405.07299999999998</v>
      </c>
      <c r="Q40" s="291">
        <v>0.21599999999999975</v>
      </c>
      <c r="R40" s="291">
        <v>35.177999999999997</v>
      </c>
      <c r="S40" s="291">
        <v>0</v>
      </c>
      <c r="T40" s="291">
        <v>358.88599999999991</v>
      </c>
      <c r="U40" s="291">
        <v>10.793000000000001</v>
      </c>
      <c r="V40" s="291">
        <v>32.516000000000005</v>
      </c>
      <c r="W40" s="291">
        <v>0</v>
      </c>
      <c r="X40" s="291">
        <v>0</v>
      </c>
      <c r="Y40" s="291">
        <v>11.468</v>
      </c>
      <c r="Z40" s="291">
        <v>336.1049999999999</v>
      </c>
      <c r="AA40" s="291">
        <v>57.500000000000007</v>
      </c>
      <c r="AB40" s="291">
        <v>495.63499999999993</v>
      </c>
      <c r="AC40" s="291">
        <v>463.11899999999997</v>
      </c>
      <c r="AD40" s="291">
        <v>0.21599999999999975</v>
      </c>
      <c r="AE40" s="291">
        <v>69.091999999999999</v>
      </c>
      <c r="AF40" s="291">
        <v>0</v>
      </c>
      <c r="AG40" s="291">
        <v>383.01799999999992</v>
      </c>
      <c r="AH40" s="291">
        <v>10.793000000000001</v>
      </c>
      <c r="AI40" s="291">
        <v>32.516000000000005</v>
      </c>
      <c r="AJ40" s="291">
        <v>0</v>
      </c>
      <c r="AK40" s="291">
        <v>0</v>
      </c>
      <c r="AL40" s="291">
        <v>66.523999999999987</v>
      </c>
      <c r="AM40" s="291">
        <v>339.09499999999991</v>
      </c>
      <c r="AN40" s="291">
        <v>57.500000000000007</v>
      </c>
      <c r="AO40" s="77"/>
      <c r="AP40" s="77"/>
      <c r="AQ40" s="77"/>
    </row>
    <row r="41" spans="1:43" ht="18.75" customHeight="1" x14ac:dyDescent="0.3">
      <c r="A41" s="288" t="s">
        <v>253</v>
      </c>
      <c r="B41" s="289">
        <v>78.484999999999999</v>
      </c>
      <c r="C41" s="289">
        <v>78.484999999999999</v>
      </c>
      <c r="D41" s="289">
        <v>0</v>
      </c>
      <c r="E41" s="289">
        <v>78.484999999999999</v>
      </c>
      <c r="F41" s="289">
        <v>0</v>
      </c>
      <c r="G41" s="289">
        <v>0</v>
      </c>
      <c r="H41" s="289">
        <v>0</v>
      </c>
      <c r="I41" s="289">
        <v>0</v>
      </c>
      <c r="J41" s="289">
        <v>0</v>
      </c>
      <c r="K41" s="289">
        <v>0</v>
      </c>
      <c r="L41" s="289">
        <v>78.484999999999999</v>
      </c>
      <c r="M41" s="289">
        <v>0</v>
      </c>
      <c r="N41" s="289">
        <v>0</v>
      </c>
      <c r="O41" s="291">
        <v>221.3360000000001</v>
      </c>
      <c r="P41" s="291">
        <v>221.33600000000004</v>
      </c>
      <c r="Q41" s="291">
        <v>31.722999999999999</v>
      </c>
      <c r="R41" s="291">
        <v>58.706999999999994</v>
      </c>
      <c r="S41" s="291">
        <v>0</v>
      </c>
      <c r="T41" s="291">
        <v>127.40300000000001</v>
      </c>
      <c r="U41" s="291">
        <v>3.5030000000000001</v>
      </c>
      <c r="V41" s="291">
        <v>0</v>
      </c>
      <c r="W41" s="291">
        <v>0</v>
      </c>
      <c r="X41" s="291">
        <v>0</v>
      </c>
      <c r="Y41" s="291">
        <v>17.323</v>
      </c>
      <c r="Z41" s="291">
        <v>180.453</v>
      </c>
      <c r="AA41" s="291">
        <v>23.560000000000002</v>
      </c>
      <c r="AB41" s="291">
        <v>299.82100000000008</v>
      </c>
      <c r="AC41" s="291">
        <v>299.82100000000003</v>
      </c>
      <c r="AD41" s="291">
        <v>31.722999999999999</v>
      </c>
      <c r="AE41" s="291">
        <v>137.19200000000001</v>
      </c>
      <c r="AF41" s="291">
        <v>0</v>
      </c>
      <c r="AG41" s="291">
        <v>127.40300000000001</v>
      </c>
      <c r="AH41" s="291">
        <v>3.5030000000000001</v>
      </c>
      <c r="AI41" s="291">
        <v>0</v>
      </c>
      <c r="AJ41" s="291">
        <v>0</v>
      </c>
      <c r="AK41" s="291">
        <v>0</v>
      </c>
      <c r="AL41" s="291">
        <v>95.807999999999993</v>
      </c>
      <c r="AM41" s="291">
        <v>180.453</v>
      </c>
      <c r="AN41" s="291">
        <v>23.560000000000002</v>
      </c>
      <c r="AO41" s="77"/>
      <c r="AP41" s="77"/>
      <c r="AQ41" s="77"/>
    </row>
    <row r="42" spans="1:43" ht="18.75" customHeight="1" x14ac:dyDescent="0.3">
      <c r="A42" s="288" t="s">
        <v>254</v>
      </c>
      <c r="B42" s="289">
        <v>81.403000000000006</v>
      </c>
      <c r="C42" s="289">
        <v>81.403000000000006</v>
      </c>
      <c r="D42" s="289">
        <v>0</v>
      </c>
      <c r="E42" s="289">
        <v>39.878</v>
      </c>
      <c r="F42" s="289">
        <v>0</v>
      </c>
      <c r="G42" s="289">
        <v>16.794999999999998</v>
      </c>
      <c r="H42" s="289">
        <v>24.730000000000004</v>
      </c>
      <c r="I42" s="289">
        <v>0</v>
      </c>
      <c r="J42" s="289">
        <v>0</v>
      </c>
      <c r="K42" s="289">
        <v>0</v>
      </c>
      <c r="L42" s="289">
        <v>36.878</v>
      </c>
      <c r="M42" s="289">
        <v>44.525000000000006</v>
      </c>
      <c r="N42" s="289">
        <v>0</v>
      </c>
      <c r="O42" s="291">
        <v>319.31400000000002</v>
      </c>
      <c r="P42" s="291">
        <v>212.55799999999996</v>
      </c>
      <c r="Q42" s="291">
        <v>0</v>
      </c>
      <c r="R42" s="291">
        <v>16.604999999999997</v>
      </c>
      <c r="S42" s="291">
        <v>0</v>
      </c>
      <c r="T42" s="291">
        <v>180.10900000000001</v>
      </c>
      <c r="U42" s="291">
        <v>15.843999999999999</v>
      </c>
      <c r="V42" s="291">
        <v>106.756</v>
      </c>
      <c r="W42" s="291">
        <v>0</v>
      </c>
      <c r="X42" s="291">
        <v>0</v>
      </c>
      <c r="Y42" s="291">
        <v>8.9879999999999995</v>
      </c>
      <c r="Z42" s="291">
        <v>124.24500000000002</v>
      </c>
      <c r="AA42" s="291">
        <v>79.325000000000003</v>
      </c>
      <c r="AB42" s="291">
        <v>400.71700000000004</v>
      </c>
      <c r="AC42" s="291">
        <v>293.96100000000007</v>
      </c>
      <c r="AD42" s="291">
        <v>0</v>
      </c>
      <c r="AE42" s="291">
        <v>56.48299999999999</v>
      </c>
      <c r="AF42" s="291">
        <v>0</v>
      </c>
      <c r="AG42" s="291">
        <v>196.904</v>
      </c>
      <c r="AH42" s="291">
        <v>40.574000000000005</v>
      </c>
      <c r="AI42" s="291">
        <v>106.756</v>
      </c>
      <c r="AJ42" s="291">
        <v>0</v>
      </c>
      <c r="AK42" s="291">
        <v>0</v>
      </c>
      <c r="AL42" s="291">
        <v>45.866</v>
      </c>
      <c r="AM42" s="291">
        <v>168.77</v>
      </c>
      <c r="AN42" s="291">
        <v>79.325000000000003</v>
      </c>
      <c r="AO42" s="77"/>
      <c r="AP42" s="77"/>
      <c r="AQ42" s="77"/>
    </row>
    <row r="43" spans="1:43" ht="18.75" customHeight="1" x14ac:dyDescent="0.3">
      <c r="A43" s="298" t="s">
        <v>255</v>
      </c>
      <c r="B43" s="289">
        <v>150.02100000000002</v>
      </c>
      <c r="C43" s="289">
        <v>150.02100000000002</v>
      </c>
      <c r="D43" s="289">
        <v>0.65600000000000003</v>
      </c>
      <c r="E43" s="289">
        <v>36.000999999999998</v>
      </c>
      <c r="F43" s="289">
        <v>0</v>
      </c>
      <c r="G43" s="289">
        <v>113.364</v>
      </c>
      <c r="H43" s="289">
        <v>0</v>
      </c>
      <c r="I43" s="289">
        <v>0</v>
      </c>
      <c r="J43" s="289">
        <v>0</v>
      </c>
      <c r="K43" s="289">
        <v>0</v>
      </c>
      <c r="L43" s="289">
        <v>6.6029999999999998</v>
      </c>
      <c r="M43" s="289">
        <v>138.816</v>
      </c>
      <c r="N43" s="289">
        <v>4.6020000000000003</v>
      </c>
      <c r="O43" s="299">
        <v>296.81699999999989</v>
      </c>
      <c r="P43" s="299">
        <v>206.06900000000002</v>
      </c>
      <c r="Q43" s="299">
        <v>2.339</v>
      </c>
      <c r="R43" s="299">
        <v>0</v>
      </c>
      <c r="S43" s="299">
        <v>0</v>
      </c>
      <c r="T43" s="299">
        <v>188.31199999999998</v>
      </c>
      <c r="U43" s="299">
        <v>15.417999999999999</v>
      </c>
      <c r="V43" s="299">
        <v>90.74799999999999</v>
      </c>
      <c r="W43" s="299">
        <v>0</v>
      </c>
      <c r="X43" s="299">
        <v>0</v>
      </c>
      <c r="Y43" s="299">
        <v>0</v>
      </c>
      <c r="Z43" s="299">
        <v>171.19500000000005</v>
      </c>
      <c r="AA43" s="299">
        <v>34.873999999999995</v>
      </c>
      <c r="AB43" s="291">
        <v>446.83799999999991</v>
      </c>
      <c r="AC43" s="291">
        <v>356.09000000000003</v>
      </c>
      <c r="AD43" s="291">
        <v>2.9950000000000001</v>
      </c>
      <c r="AE43" s="291">
        <v>36.000999999999998</v>
      </c>
      <c r="AF43" s="291">
        <v>0</v>
      </c>
      <c r="AG43" s="291">
        <v>301.67599999999999</v>
      </c>
      <c r="AH43" s="291">
        <v>15.417999999999999</v>
      </c>
      <c r="AI43" s="291">
        <v>90.74799999999999</v>
      </c>
      <c r="AJ43" s="291">
        <v>0</v>
      </c>
      <c r="AK43" s="291">
        <v>0</v>
      </c>
      <c r="AL43" s="291">
        <v>6.6029999999999998</v>
      </c>
      <c r="AM43" s="291">
        <v>310.01100000000008</v>
      </c>
      <c r="AN43" s="291">
        <v>39.475999999999999</v>
      </c>
      <c r="AO43" s="77"/>
      <c r="AP43" s="77"/>
      <c r="AQ43" s="77"/>
    </row>
    <row r="44" spans="1:43" ht="18.75" customHeight="1" x14ac:dyDescent="0.3">
      <c r="A44" s="288" t="s">
        <v>256</v>
      </c>
      <c r="B44" s="289">
        <v>2.4230000000000018</v>
      </c>
      <c r="C44" s="289">
        <v>2.423</v>
      </c>
      <c r="D44" s="289">
        <v>0</v>
      </c>
      <c r="E44" s="289">
        <v>2.423</v>
      </c>
      <c r="F44" s="289">
        <v>0</v>
      </c>
      <c r="G44" s="289">
        <v>0</v>
      </c>
      <c r="H44" s="289">
        <v>0</v>
      </c>
      <c r="I44" s="289">
        <v>0</v>
      </c>
      <c r="J44" s="289">
        <v>0</v>
      </c>
      <c r="K44" s="289">
        <v>2.423</v>
      </c>
      <c r="L44" s="289">
        <v>0</v>
      </c>
      <c r="M44" s="289">
        <v>0</v>
      </c>
      <c r="N44" s="289">
        <v>0</v>
      </c>
      <c r="O44" s="291">
        <v>4.3819999999999997</v>
      </c>
      <c r="P44" s="291">
        <v>4.3819999999999997</v>
      </c>
      <c r="Q44" s="291">
        <v>0</v>
      </c>
      <c r="R44" s="291">
        <v>4.3819999999999997</v>
      </c>
      <c r="S44" s="291">
        <v>0</v>
      </c>
      <c r="T44" s="291">
        <v>0</v>
      </c>
      <c r="U44" s="291">
        <v>0</v>
      </c>
      <c r="V44" s="291">
        <v>0</v>
      </c>
      <c r="W44" s="291">
        <v>0.27300000000000002</v>
      </c>
      <c r="X44" s="291">
        <v>0</v>
      </c>
      <c r="Y44" s="291">
        <v>0.78899999999999992</v>
      </c>
      <c r="Z44" s="291">
        <v>3.3200000000000003</v>
      </c>
      <c r="AA44" s="291">
        <v>0</v>
      </c>
      <c r="AB44" s="291">
        <v>6.8050000000000015</v>
      </c>
      <c r="AC44" s="291">
        <v>6.8049999999999997</v>
      </c>
      <c r="AD44" s="291">
        <v>0</v>
      </c>
      <c r="AE44" s="291">
        <v>6.8049999999999997</v>
      </c>
      <c r="AF44" s="291">
        <v>0</v>
      </c>
      <c r="AG44" s="291">
        <v>0</v>
      </c>
      <c r="AH44" s="291">
        <v>0</v>
      </c>
      <c r="AI44" s="291">
        <v>0</v>
      </c>
      <c r="AJ44" s="291">
        <v>0.27300000000000002</v>
      </c>
      <c r="AK44" s="291">
        <v>2.423</v>
      </c>
      <c r="AL44" s="291">
        <v>0.78899999999999992</v>
      </c>
      <c r="AM44" s="291">
        <v>3.3200000000000003</v>
      </c>
      <c r="AN44" s="291">
        <v>0</v>
      </c>
      <c r="AO44" s="77"/>
      <c r="AP44" s="77"/>
      <c r="AQ44" s="77"/>
    </row>
    <row r="45" spans="1:43" ht="18.75" customHeight="1" thickBot="1" x14ac:dyDescent="0.35">
      <c r="A45" s="300" t="s">
        <v>257</v>
      </c>
      <c r="B45" s="301">
        <v>4.1320000000000014</v>
      </c>
      <c r="C45" s="301">
        <v>4.1319999999999997</v>
      </c>
      <c r="D45" s="301">
        <v>0</v>
      </c>
      <c r="E45" s="301">
        <v>4.1319999999999997</v>
      </c>
      <c r="F45" s="301">
        <v>0</v>
      </c>
      <c r="G45" s="301">
        <v>0</v>
      </c>
      <c r="H45" s="301">
        <v>0</v>
      </c>
      <c r="I45" s="301">
        <v>0</v>
      </c>
      <c r="J45" s="301">
        <v>0</v>
      </c>
      <c r="K45" s="301">
        <v>4.1319999999999997</v>
      </c>
      <c r="L45" s="301">
        <v>0</v>
      </c>
      <c r="M45" s="301">
        <v>0</v>
      </c>
      <c r="N45" s="301">
        <v>0</v>
      </c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3"/>
      <c r="AB45" s="302">
        <v>4.1320000000000014</v>
      </c>
      <c r="AC45" s="302">
        <v>4.1319999999999997</v>
      </c>
      <c r="AD45" s="302">
        <v>0</v>
      </c>
      <c r="AE45" s="302">
        <v>4.1319999999999997</v>
      </c>
      <c r="AF45" s="302">
        <v>0</v>
      </c>
      <c r="AG45" s="302">
        <v>0</v>
      </c>
      <c r="AH45" s="302">
        <v>0</v>
      </c>
      <c r="AI45" s="302">
        <v>0</v>
      </c>
      <c r="AJ45" s="302">
        <v>0</v>
      </c>
      <c r="AK45" s="302">
        <v>4.1319999999999997</v>
      </c>
      <c r="AL45" s="302">
        <v>0</v>
      </c>
      <c r="AM45" s="302">
        <v>0</v>
      </c>
      <c r="AN45" s="302">
        <v>0</v>
      </c>
      <c r="AO45" s="77"/>
      <c r="AP45" s="77"/>
      <c r="AQ45" s="77"/>
    </row>
    <row r="46" spans="1:43" ht="11.25" customHeight="1" thickTop="1" x14ac:dyDescent="0.25">
      <c r="A46" s="304"/>
      <c r="B46" s="305"/>
      <c r="C46" s="305"/>
      <c r="D46" s="305"/>
      <c r="E46" s="305"/>
      <c r="F46" s="305"/>
      <c r="G46" s="305"/>
      <c r="H46" s="305"/>
      <c r="I46" s="305"/>
      <c r="J46" s="306"/>
      <c r="K46" s="305"/>
      <c r="L46" s="305"/>
      <c r="M46" s="305"/>
      <c r="N46" s="307"/>
      <c r="O46" s="306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7"/>
      <c r="AB46" s="306"/>
      <c r="AC46" s="305"/>
      <c r="AD46" s="305"/>
      <c r="AE46" s="305"/>
      <c r="AF46" s="305"/>
      <c r="AG46" s="305"/>
      <c r="AH46" s="305"/>
      <c r="AI46" s="305"/>
      <c r="AJ46" s="305"/>
      <c r="AK46" s="305"/>
      <c r="AL46" s="305"/>
      <c r="AM46" s="305"/>
      <c r="AN46" s="307"/>
      <c r="AQ46" s="77"/>
    </row>
    <row r="47" spans="1:43" s="312" customFormat="1" ht="17.25" customHeight="1" x14ac:dyDescent="0.25">
      <c r="A47" s="308" t="s">
        <v>186</v>
      </c>
      <c r="B47" s="309">
        <f>SUM(B14:B45)</f>
        <v>3226.2040000000002</v>
      </c>
      <c r="C47" s="309">
        <f t="shared" ref="C47:AN47" si="0">SUM(C14:C45)</f>
        <v>3162.2679999999996</v>
      </c>
      <c r="D47" s="309">
        <f t="shared" si="0"/>
        <v>70.02000000000001</v>
      </c>
      <c r="E47" s="309">
        <f t="shared" si="0"/>
        <v>1809.675</v>
      </c>
      <c r="F47" s="309">
        <f t="shared" si="0"/>
        <v>207.64199999999997</v>
      </c>
      <c r="G47" s="309">
        <f t="shared" si="0"/>
        <v>998.20799999999986</v>
      </c>
      <c r="H47" s="309">
        <f t="shared" si="0"/>
        <v>76.723000000000013</v>
      </c>
      <c r="I47" s="309">
        <f t="shared" si="0"/>
        <v>63.936000000000007</v>
      </c>
      <c r="J47" s="310">
        <f t="shared" si="0"/>
        <v>13.58</v>
      </c>
      <c r="K47" s="309">
        <f t="shared" si="0"/>
        <v>162.37400000000002</v>
      </c>
      <c r="L47" s="309">
        <f t="shared" si="0"/>
        <v>1859.0360000000001</v>
      </c>
      <c r="M47" s="309">
        <f t="shared" si="0"/>
        <v>1070.8429999999998</v>
      </c>
      <c r="N47" s="311">
        <f t="shared" si="0"/>
        <v>56.435000000000002</v>
      </c>
      <c r="O47" s="310">
        <f t="shared" si="0"/>
        <v>9480.6349999999984</v>
      </c>
      <c r="P47" s="309">
        <f t="shared" si="0"/>
        <v>7572.1020000000008</v>
      </c>
      <c r="Q47" s="309">
        <f t="shared" si="0"/>
        <v>81.304000000000002</v>
      </c>
      <c r="R47" s="309">
        <f t="shared" si="0"/>
        <v>1169.5529999999999</v>
      </c>
      <c r="S47" s="309">
        <f t="shared" si="0"/>
        <v>260.46200000000005</v>
      </c>
      <c r="T47" s="309">
        <f t="shared" si="0"/>
        <v>5008.1750000000002</v>
      </c>
      <c r="U47" s="309">
        <f t="shared" si="0"/>
        <v>1052.6079999999999</v>
      </c>
      <c r="V47" s="309">
        <f t="shared" si="0"/>
        <v>1908.5330000000004</v>
      </c>
      <c r="W47" s="309">
        <f t="shared" si="0"/>
        <v>8.1549999999999994</v>
      </c>
      <c r="X47" s="309">
        <f t="shared" si="0"/>
        <v>18.541</v>
      </c>
      <c r="Y47" s="309">
        <f t="shared" si="0"/>
        <v>171.25299999999996</v>
      </c>
      <c r="Z47" s="309">
        <f t="shared" si="0"/>
        <v>5739.7099999999991</v>
      </c>
      <c r="AA47" s="311">
        <f t="shared" si="0"/>
        <v>1634.443</v>
      </c>
      <c r="AB47" s="310">
        <f t="shared" si="0"/>
        <v>12706.839000000002</v>
      </c>
      <c r="AC47" s="309">
        <f t="shared" si="0"/>
        <v>10734.37</v>
      </c>
      <c r="AD47" s="309">
        <f t="shared" si="0"/>
        <v>151.32400000000001</v>
      </c>
      <c r="AE47" s="309">
        <f t="shared" si="0"/>
        <v>2979.2280000000005</v>
      </c>
      <c r="AF47" s="309">
        <f t="shared" si="0"/>
        <v>468.10399999999993</v>
      </c>
      <c r="AG47" s="309">
        <f t="shared" si="0"/>
        <v>6006.3830000000007</v>
      </c>
      <c r="AH47" s="309">
        <f t="shared" si="0"/>
        <v>1129.3309999999997</v>
      </c>
      <c r="AI47" s="309">
        <f t="shared" si="0"/>
        <v>1972.4689999999998</v>
      </c>
      <c r="AJ47" s="309">
        <f t="shared" si="0"/>
        <v>21.734999999999999</v>
      </c>
      <c r="AK47" s="309">
        <f t="shared" si="0"/>
        <v>180.91500000000002</v>
      </c>
      <c r="AL47" s="309">
        <f t="shared" si="0"/>
        <v>2030.289</v>
      </c>
      <c r="AM47" s="309">
        <f t="shared" si="0"/>
        <v>6810.5530000000017</v>
      </c>
      <c r="AN47" s="311">
        <f t="shared" si="0"/>
        <v>1690.8780000000002</v>
      </c>
      <c r="AQ47" s="77"/>
    </row>
    <row r="48" spans="1:43" ht="11.25" customHeight="1" thickBot="1" x14ac:dyDescent="0.3">
      <c r="A48" s="313"/>
      <c r="B48" s="314"/>
      <c r="C48" s="314"/>
      <c r="D48" s="314"/>
      <c r="E48" s="314"/>
      <c r="F48" s="314"/>
      <c r="G48" s="314"/>
      <c r="H48" s="314"/>
      <c r="I48" s="314"/>
      <c r="J48" s="315"/>
      <c r="K48" s="314"/>
      <c r="L48" s="314"/>
      <c r="M48" s="314"/>
      <c r="N48" s="316"/>
      <c r="O48" s="315"/>
      <c r="P48" s="314"/>
      <c r="Q48" s="314"/>
      <c r="R48" s="314"/>
      <c r="S48" s="314"/>
      <c r="T48" s="314"/>
      <c r="U48" s="314"/>
      <c r="V48" s="314"/>
      <c r="W48" s="314"/>
      <c r="X48" s="314"/>
      <c r="Y48" s="314"/>
      <c r="Z48" s="314"/>
      <c r="AA48" s="316"/>
      <c r="AB48" s="315"/>
      <c r="AC48" s="314"/>
      <c r="AD48" s="314"/>
      <c r="AE48" s="314"/>
      <c r="AF48" s="314"/>
      <c r="AG48" s="314"/>
      <c r="AH48" s="314"/>
      <c r="AI48" s="314"/>
      <c r="AJ48" s="314"/>
      <c r="AK48" s="314"/>
      <c r="AL48" s="314"/>
      <c r="AM48" s="314"/>
      <c r="AN48" s="316"/>
    </row>
    <row r="49" spans="1:40" ht="17.25" thickTop="1" x14ac:dyDescent="0.25">
      <c r="A49" s="128"/>
      <c r="B49" s="317"/>
      <c r="C49" s="317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</row>
    <row r="50" spans="1:40" x14ac:dyDescent="0.2">
      <c r="E50" s="77"/>
      <c r="F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</row>
    <row r="51" spans="1:40" ht="18.75" x14ac:dyDescent="0.3">
      <c r="A51" s="132"/>
      <c r="F51" s="142"/>
      <c r="AC51" s="318"/>
      <c r="AI51" s="131"/>
    </row>
    <row r="52" spans="1:40" x14ac:dyDescent="0.2">
      <c r="R52" s="134"/>
      <c r="S52" s="135"/>
      <c r="T52" s="136"/>
      <c r="U52" s="136"/>
      <c r="V52" s="137"/>
      <c r="W52" s="137"/>
      <c r="X52" s="137"/>
      <c r="Y52" s="137"/>
      <c r="Z52" s="137"/>
      <c r="AA52" s="137"/>
      <c r="AB52" s="137"/>
      <c r="AC52" s="137"/>
      <c r="AH52" s="319"/>
      <c r="AK52" s="77"/>
    </row>
    <row r="53" spans="1:40" x14ac:dyDescent="0.2">
      <c r="E53" s="318"/>
      <c r="F53" s="318"/>
      <c r="R53" s="134"/>
      <c r="S53" s="135"/>
      <c r="T53" s="136"/>
      <c r="U53" s="136"/>
      <c r="V53" s="137"/>
      <c r="W53" s="137"/>
      <c r="X53" s="137"/>
      <c r="Y53" s="137"/>
      <c r="Z53" s="137"/>
      <c r="AA53" s="137"/>
      <c r="AB53" s="137"/>
      <c r="AC53" s="137"/>
      <c r="AD53" s="320"/>
      <c r="AG53" s="320"/>
    </row>
    <row r="54" spans="1:40" ht="18.75" x14ac:dyDescent="0.3">
      <c r="B54" s="142"/>
      <c r="C54" s="142"/>
      <c r="E54" s="142"/>
      <c r="F54" s="142"/>
      <c r="G54" s="142"/>
      <c r="H54" s="142"/>
      <c r="J54" s="142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</row>
    <row r="55" spans="1:40" x14ac:dyDescent="0.2"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</row>
    <row r="142" spans="4:4" x14ac:dyDescent="0.2">
      <c r="D142" s="131" t="s">
        <v>258</v>
      </c>
    </row>
  </sheetData>
  <mergeCells count="63">
    <mergeCell ref="A5:N5"/>
    <mergeCell ref="O5:AA5"/>
    <mergeCell ref="AB5:AN5"/>
    <mergeCell ref="AK1:AN1"/>
    <mergeCell ref="J2:N2"/>
    <mergeCell ref="W2:AA2"/>
    <mergeCell ref="AK2:AN2"/>
    <mergeCell ref="AK3:AN3"/>
    <mergeCell ref="A6:N6"/>
    <mergeCell ref="O6:AA6"/>
    <mergeCell ref="AB6:AN6"/>
    <mergeCell ref="A9:A12"/>
    <mergeCell ref="B9:B12"/>
    <mergeCell ref="C9:C12"/>
    <mergeCell ref="D9:I9"/>
    <mergeCell ref="J9:N9"/>
    <mergeCell ref="O9:O12"/>
    <mergeCell ref="P9:P12"/>
    <mergeCell ref="AJ9:AN9"/>
    <mergeCell ref="X10:X12"/>
    <mergeCell ref="Y10:Y12"/>
    <mergeCell ref="Z10:Z12"/>
    <mergeCell ref="AA10:AA12"/>
    <mergeCell ref="Q9:V9"/>
    <mergeCell ref="W9:AA9"/>
    <mergeCell ref="AB9:AB12"/>
    <mergeCell ref="AC9:AC12"/>
    <mergeCell ref="AD9:AI9"/>
    <mergeCell ref="W10:W12"/>
    <mergeCell ref="T11:T12"/>
    <mergeCell ref="U11:U12"/>
    <mergeCell ref="D10:F10"/>
    <mergeCell ref="G10:H10"/>
    <mergeCell ref="I10:I12"/>
    <mergeCell ref="J10:J12"/>
    <mergeCell ref="K10:K12"/>
    <mergeCell ref="L10:L12"/>
    <mergeCell ref="M10:M12"/>
    <mergeCell ref="N10:N12"/>
    <mergeCell ref="Q10:S10"/>
    <mergeCell ref="T10:U10"/>
    <mergeCell ref="AL10:AL12"/>
    <mergeCell ref="AD11:AD12"/>
    <mergeCell ref="AE11:AE12"/>
    <mergeCell ref="AF11:AF12"/>
    <mergeCell ref="AG11:AG12"/>
    <mergeCell ref="AH11:AH12"/>
    <mergeCell ref="AM10:AM12"/>
    <mergeCell ref="AN10:AN12"/>
    <mergeCell ref="D11:D12"/>
    <mergeCell ref="E11:E12"/>
    <mergeCell ref="F11:F12"/>
    <mergeCell ref="G11:G12"/>
    <mergeCell ref="H11:H12"/>
    <mergeCell ref="Q11:Q12"/>
    <mergeCell ref="R11:R12"/>
    <mergeCell ref="S11:S12"/>
    <mergeCell ref="AD10:AF10"/>
    <mergeCell ref="AG10:AH10"/>
    <mergeCell ref="AI10:AI12"/>
    <mergeCell ref="AJ10:AJ12"/>
    <mergeCell ref="AK10:AK12"/>
    <mergeCell ref="V10:V12"/>
  </mergeCells>
  <conditionalFormatting sqref="B14:AN47">
    <cfRule type="cellIs" dxfId="1" priority="1" stopIfTrue="1" operator="equal">
      <formula>0</formula>
    </cfRule>
  </conditionalFormatting>
  <printOptions horizontalCentered="1" verticalCentered="1"/>
  <pageMargins left="0" right="0" top="0.39370078740157483" bottom="0" header="0" footer="0"/>
  <pageSetup paperSize="9" scale="56" fitToWidth="3" orientation="landscape" r:id="rId1"/>
  <headerFooter alignWithMargins="0"/>
  <colBreaks count="2" manualBreakCount="2">
    <brk id="14" max="44" man="1"/>
    <brk id="27" max="4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57"/>
  <sheetViews>
    <sheetView tabSelected="1" view="pageBreakPreview" zoomScale="75" zoomScaleNormal="85" workbookViewId="0">
      <pane xSplit="1" topLeftCell="B1" activePane="topRight" state="frozen"/>
      <selection activeCell="B38" sqref="B38"/>
      <selection pane="topRight" activeCell="F30" sqref="F30"/>
    </sheetView>
  </sheetViews>
  <sheetFormatPr defaultRowHeight="15" x14ac:dyDescent="0.2"/>
  <cols>
    <col min="1" max="1" width="24.375" style="322" customWidth="1"/>
    <col min="2" max="19" width="15.75" style="144" customWidth="1"/>
    <col min="20" max="20" width="16.375" style="144" customWidth="1"/>
    <col min="21" max="21" width="15.125" style="144" customWidth="1"/>
    <col min="22" max="22" width="15.125" style="409" customWidth="1"/>
    <col min="23" max="58" width="15.125" style="144" customWidth="1"/>
    <col min="59" max="59" width="10.875" customWidth="1"/>
    <col min="60" max="60" width="7.125" customWidth="1"/>
    <col min="61" max="61" width="13" customWidth="1"/>
    <col min="62" max="90" width="12.375" customWidth="1"/>
    <col min="91" max="123" width="12.375" style="322" customWidth="1"/>
    <col min="124" max="256" width="9" style="322"/>
    <col min="257" max="257" width="24.375" style="322" customWidth="1"/>
    <col min="258" max="275" width="15.75" style="322" customWidth="1"/>
    <col min="276" max="276" width="16.375" style="322" customWidth="1"/>
    <col min="277" max="314" width="15.125" style="322" customWidth="1"/>
    <col min="315" max="315" width="10.875" style="322" customWidth="1"/>
    <col min="316" max="316" width="7.125" style="322" customWidth="1"/>
    <col min="317" max="317" width="13" style="322" customWidth="1"/>
    <col min="318" max="379" width="12.375" style="322" customWidth="1"/>
    <col min="380" max="512" width="9" style="322"/>
    <col min="513" max="513" width="24.375" style="322" customWidth="1"/>
    <col min="514" max="531" width="15.75" style="322" customWidth="1"/>
    <col min="532" max="532" width="16.375" style="322" customWidth="1"/>
    <col min="533" max="570" width="15.125" style="322" customWidth="1"/>
    <col min="571" max="571" width="10.875" style="322" customWidth="1"/>
    <col min="572" max="572" width="7.125" style="322" customWidth="1"/>
    <col min="573" max="573" width="13" style="322" customWidth="1"/>
    <col min="574" max="635" width="12.375" style="322" customWidth="1"/>
    <col min="636" max="768" width="9" style="322"/>
    <col min="769" max="769" width="24.375" style="322" customWidth="1"/>
    <col min="770" max="787" width="15.75" style="322" customWidth="1"/>
    <col min="788" max="788" width="16.375" style="322" customWidth="1"/>
    <col min="789" max="826" width="15.125" style="322" customWidth="1"/>
    <col min="827" max="827" width="10.875" style="322" customWidth="1"/>
    <col min="828" max="828" width="7.125" style="322" customWidth="1"/>
    <col min="829" max="829" width="13" style="322" customWidth="1"/>
    <col min="830" max="891" width="12.375" style="322" customWidth="1"/>
    <col min="892" max="1024" width="9" style="322"/>
    <col min="1025" max="1025" width="24.375" style="322" customWidth="1"/>
    <col min="1026" max="1043" width="15.75" style="322" customWidth="1"/>
    <col min="1044" max="1044" width="16.375" style="322" customWidth="1"/>
    <col min="1045" max="1082" width="15.125" style="322" customWidth="1"/>
    <col min="1083" max="1083" width="10.875" style="322" customWidth="1"/>
    <col min="1084" max="1084" width="7.125" style="322" customWidth="1"/>
    <col min="1085" max="1085" width="13" style="322" customWidth="1"/>
    <col min="1086" max="1147" width="12.375" style="322" customWidth="1"/>
    <col min="1148" max="1280" width="9" style="322"/>
    <col min="1281" max="1281" width="24.375" style="322" customWidth="1"/>
    <col min="1282" max="1299" width="15.75" style="322" customWidth="1"/>
    <col min="1300" max="1300" width="16.375" style="322" customWidth="1"/>
    <col min="1301" max="1338" width="15.125" style="322" customWidth="1"/>
    <col min="1339" max="1339" width="10.875" style="322" customWidth="1"/>
    <col min="1340" max="1340" width="7.125" style="322" customWidth="1"/>
    <col min="1341" max="1341" width="13" style="322" customWidth="1"/>
    <col min="1342" max="1403" width="12.375" style="322" customWidth="1"/>
    <col min="1404" max="1536" width="9" style="322"/>
    <col min="1537" max="1537" width="24.375" style="322" customWidth="1"/>
    <col min="1538" max="1555" width="15.75" style="322" customWidth="1"/>
    <col min="1556" max="1556" width="16.375" style="322" customWidth="1"/>
    <col min="1557" max="1594" width="15.125" style="322" customWidth="1"/>
    <col min="1595" max="1595" width="10.875" style="322" customWidth="1"/>
    <col min="1596" max="1596" width="7.125" style="322" customWidth="1"/>
    <col min="1597" max="1597" width="13" style="322" customWidth="1"/>
    <col min="1598" max="1659" width="12.375" style="322" customWidth="1"/>
    <col min="1660" max="1792" width="9" style="322"/>
    <col min="1793" max="1793" width="24.375" style="322" customWidth="1"/>
    <col min="1794" max="1811" width="15.75" style="322" customWidth="1"/>
    <col min="1812" max="1812" width="16.375" style="322" customWidth="1"/>
    <col min="1813" max="1850" width="15.125" style="322" customWidth="1"/>
    <col min="1851" max="1851" width="10.875" style="322" customWidth="1"/>
    <col min="1852" max="1852" width="7.125" style="322" customWidth="1"/>
    <col min="1853" max="1853" width="13" style="322" customWidth="1"/>
    <col min="1854" max="1915" width="12.375" style="322" customWidth="1"/>
    <col min="1916" max="2048" width="9" style="322"/>
    <col min="2049" max="2049" width="24.375" style="322" customWidth="1"/>
    <col min="2050" max="2067" width="15.75" style="322" customWidth="1"/>
    <col min="2068" max="2068" width="16.375" style="322" customWidth="1"/>
    <col min="2069" max="2106" width="15.125" style="322" customWidth="1"/>
    <col min="2107" max="2107" width="10.875" style="322" customWidth="1"/>
    <col min="2108" max="2108" width="7.125" style="322" customWidth="1"/>
    <col min="2109" max="2109" width="13" style="322" customWidth="1"/>
    <col min="2110" max="2171" width="12.375" style="322" customWidth="1"/>
    <col min="2172" max="2304" width="9" style="322"/>
    <col min="2305" max="2305" width="24.375" style="322" customWidth="1"/>
    <col min="2306" max="2323" width="15.75" style="322" customWidth="1"/>
    <col min="2324" max="2324" width="16.375" style="322" customWidth="1"/>
    <col min="2325" max="2362" width="15.125" style="322" customWidth="1"/>
    <col min="2363" max="2363" width="10.875" style="322" customWidth="1"/>
    <col min="2364" max="2364" width="7.125" style="322" customWidth="1"/>
    <col min="2365" max="2365" width="13" style="322" customWidth="1"/>
    <col min="2366" max="2427" width="12.375" style="322" customWidth="1"/>
    <col min="2428" max="2560" width="9" style="322"/>
    <col min="2561" max="2561" width="24.375" style="322" customWidth="1"/>
    <col min="2562" max="2579" width="15.75" style="322" customWidth="1"/>
    <col min="2580" max="2580" width="16.375" style="322" customWidth="1"/>
    <col min="2581" max="2618" width="15.125" style="322" customWidth="1"/>
    <col min="2619" max="2619" width="10.875" style="322" customWidth="1"/>
    <col min="2620" max="2620" width="7.125" style="322" customWidth="1"/>
    <col min="2621" max="2621" width="13" style="322" customWidth="1"/>
    <col min="2622" max="2683" width="12.375" style="322" customWidth="1"/>
    <col min="2684" max="2816" width="9" style="322"/>
    <col min="2817" max="2817" width="24.375" style="322" customWidth="1"/>
    <col min="2818" max="2835" width="15.75" style="322" customWidth="1"/>
    <col min="2836" max="2836" width="16.375" style="322" customWidth="1"/>
    <col min="2837" max="2874" width="15.125" style="322" customWidth="1"/>
    <col min="2875" max="2875" width="10.875" style="322" customWidth="1"/>
    <col min="2876" max="2876" width="7.125" style="322" customWidth="1"/>
    <col min="2877" max="2877" width="13" style="322" customWidth="1"/>
    <col min="2878" max="2939" width="12.375" style="322" customWidth="1"/>
    <col min="2940" max="3072" width="9" style="322"/>
    <col min="3073" max="3073" width="24.375" style="322" customWidth="1"/>
    <col min="3074" max="3091" width="15.75" style="322" customWidth="1"/>
    <col min="3092" max="3092" width="16.375" style="322" customWidth="1"/>
    <col min="3093" max="3130" width="15.125" style="322" customWidth="1"/>
    <col min="3131" max="3131" width="10.875" style="322" customWidth="1"/>
    <col min="3132" max="3132" width="7.125" style="322" customWidth="1"/>
    <col min="3133" max="3133" width="13" style="322" customWidth="1"/>
    <col min="3134" max="3195" width="12.375" style="322" customWidth="1"/>
    <col min="3196" max="3328" width="9" style="322"/>
    <col min="3329" max="3329" width="24.375" style="322" customWidth="1"/>
    <col min="3330" max="3347" width="15.75" style="322" customWidth="1"/>
    <col min="3348" max="3348" width="16.375" style="322" customWidth="1"/>
    <col min="3349" max="3386" width="15.125" style="322" customWidth="1"/>
    <col min="3387" max="3387" width="10.875" style="322" customWidth="1"/>
    <col min="3388" max="3388" width="7.125" style="322" customWidth="1"/>
    <col min="3389" max="3389" width="13" style="322" customWidth="1"/>
    <col min="3390" max="3451" width="12.375" style="322" customWidth="1"/>
    <col min="3452" max="3584" width="9" style="322"/>
    <col min="3585" max="3585" width="24.375" style="322" customWidth="1"/>
    <col min="3586" max="3603" width="15.75" style="322" customWidth="1"/>
    <col min="3604" max="3604" width="16.375" style="322" customWidth="1"/>
    <col min="3605" max="3642" width="15.125" style="322" customWidth="1"/>
    <col min="3643" max="3643" width="10.875" style="322" customWidth="1"/>
    <col min="3644" max="3644" width="7.125" style="322" customWidth="1"/>
    <col min="3645" max="3645" width="13" style="322" customWidth="1"/>
    <col min="3646" max="3707" width="12.375" style="322" customWidth="1"/>
    <col min="3708" max="3840" width="9" style="322"/>
    <col min="3841" max="3841" width="24.375" style="322" customWidth="1"/>
    <col min="3842" max="3859" width="15.75" style="322" customWidth="1"/>
    <col min="3860" max="3860" width="16.375" style="322" customWidth="1"/>
    <col min="3861" max="3898" width="15.125" style="322" customWidth="1"/>
    <col min="3899" max="3899" width="10.875" style="322" customWidth="1"/>
    <col min="3900" max="3900" width="7.125" style="322" customWidth="1"/>
    <col min="3901" max="3901" width="13" style="322" customWidth="1"/>
    <col min="3902" max="3963" width="12.375" style="322" customWidth="1"/>
    <col min="3964" max="4096" width="9" style="322"/>
    <col min="4097" max="4097" width="24.375" style="322" customWidth="1"/>
    <col min="4098" max="4115" width="15.75" style="322" customWidth="1"/>
    <col min="4116" max="4116" width="16.375" style="322" customWidth="1"/>
    <col min="4117" max="4154" width="15.125" style="322" customWidth="1"/>
    <col min="4155" max="4155" width="10.875" style="322" customWidth="1"/>
    <col min="4156" max="4156" width="7.125" style="322" customWidth="1"/>
    <col min="4157" max="4157" width="13" style="322" customWidth="1"/>
    <col min="4158" max="4219" width="12.375" style="322" customWidth="1"/>
    <col min="4220" max="4352" width="9" style="322"/>
    <col min="4353" max="4353" width="24.375" style="322" customWidth="1"/>
    <col min="4354" max="4371" width="15.75" style="322" customWidth="1"/>
    <col min="4372" max="4372" width="16.375" style="322" customWidth="1"/>
    <col min="4373" max="4410" width="15.125" style="322" customWidth="1"/>
    <col min="4411" max="4411" width="10.875" style="322" customWidth="1"/>
    <col min="4412" max="4412" width="7.125" style="322" customWidth="1"/>
    <col min="4413" max="4413" width="13" style="322" customWidth="1"/>
    <col min="4414" max="4475" width="12.375" style="322" customWidth="1"/>
    <col min="4476" max="4608" width="9" style="322"/>
    <col min="4609" max="4609" width="24.375" style="322" customWidth="1"/>
    <col min="4610" max="4627" width="15.75" style="322" customWidth="1"/>
    <col min="4628" max="4628" width="16.375" style="322" customWidth="1"/>
    <col min="4629" max="4666" width="15.125" style="322" customWidth="1"/>
    <col min="4667" max="4667" width="10.875" style="322" customWidth="1"/>
    <col min="4668" max="4668" width="7.125" style="322" customWidth="1"/>
    <col min="4669" max="4669" width="13" style="322" customWidth="1"/>
    <col min="4670" max="4731" width="12.375" style="322" customWidth="1"/>
    <col min="4732" max="4864" width="9" style="322"/>
    <col min="4865" max="4865" width="24.375" style="322" customWidth="1"/>
    <col min="4866" max="4883" width="15.75" style="322" customWidth="1"/>
    <col min="4884" max="4884" width="16.375" style="322" customWidth="1"/>
    <col min="4885" max="4922" width="15.125" style="322" customWidth="1"/>
    <col min="4923" max="4923" width="10.875" style="322" customWidth="1"/>
    <col min="4924" max="4924" width="7.125" style="322" customWidth="1"/>
    <col min="4925" max="4925" width="13" style="322" customWidth="1"/>
    <col min="4926" max="4987" width="12.375" style="322" customWidth="1"/>
    <col min="4988" max="5120" width="9" style="322"/>
    <col min="5121" max="5121" width="24.375" style="322" customWidth="1"/>
    <col min="5122" max="5139" width="15.75" style="322" customWidth="1"/>
    <col min="5140" max="5140" width="16.375" style="322" customWidth="1"/>
    <col min="5141" max="5178" width="15.125" style="322" customWidth="1"/>
    <col min="5179" max="5179" width="10.875" style="322" customWidth="1"/>
    <col min="5180" max="5180" width="7.125" style="322" customWidth="1"/>
    <col min="5181" max="5181" width="13" style="322" customWidth="1"/>
    <col min="5182" max="5243" width="12.375" style="322" customWidth="1"/>
    <col min="5244" max="5376" width="9" style="322"/>
    <col min="5377" max="5377" width="24.375" style="322" customWidth="1"/>
    <col min="5378" max="5395" width="15.75" style="322" customWidth="1"/>
    <col min="5396" max="5396" width="16.375" style="322" customWidth="1"/>
    <col min="5397" max="5434" width="15.125" style="322" customWidth="1"/>
    <col min="5435" max="5435" width="10.875" style="322" customWidth="1"/>
    <col min="5436" max="5436" width="7.125" style="322" customWidth="1"/>
    <col min="5437" max="5437" width="13" style="322" customWidth="1"/>
    <col min="5438" max="5499" width="12.375" style="322" customWidth="1"/>
    <col min="5500" max="5632" width="9" style="322"/>
    <col min="5633" max="5633" width="24.375" style="322" customWidth="1"/>
    <col min="5634" max="5651" width="15.75" style="322" customWidth="1"/>
    <col min="5652" max="5652" width="16.375" style="322" customWidth="1"/>
    <col min="5653" max="5690" width="15.125" style="322" customWidth="1"/>
    <col min="5691" max="5691" width="10.875" style="322" customWidth="1"/>
    <col min="5692" max="5692" width="7.125" style="322" customWidth="1"/>
    <col min="5693" max="5693" width="13" style="322" customWidth="1"/>
    <col min="5694" max="5755" width="12.375" style="322" customWidth="1"/>
    <col min="5756" max="5888" width="9" style="322"/>
    <col min="5889" max="5889" width="24.375" style="322" customWidth="1"/>
    <col min="5890" max="5907" width="15.75" style="322" customWidth="1"/>
    <col min="5908" max="5908" width="16.375" style="322" customWidth="1"/>
    <col min="5909" max="5946" width="15.125" style="322" customWidth="1"/>
    <col min="5947" max="5947" width="10.875" style="322" customWidth="1"/>
    <col min="5948" max="5948" width="7.125" style="322" customWidth="1"/>
    <col min="5949" max="5949" width="13" style="322" customWidth="1"/>
    <col min="5950" max="6011" width="12.375" style="322" customWidth="1"/>
    <col min="6012" max="6144" width="9" style="322"/>
    <col min="6145" max="6145" width="24.375" style="322" customWidth="1"/>
    <col min="6146" max="6163" width="15.75" style="322" customWidth="1"/>
    <col min="6164" max="6164" width="16.375" style="322" customWidth="1"/>
    <col min="6165" max="6202" width="15.125" style="322" customWidth="1"/>
    <col min="6203" max="6203" width="10.875" style="322" customWidth="1"/>
    <col min="6204" max="6204" width="7.125" style="322" customWidth="1"/>
    <col min="6205" max="6205" width="13" style="322" customWidth="1"/>
    <col min="6206" max="6267" width="12.375" style="322" customWidth="1"/>
    <col min="6268" max="6400" width="9" style="322"/>
    <col min="6401" max="6401" width="24.375" style="322" customWidth="1"/>
    <col min="6402" max="6419" width="15.75" style="322" customWidth="1"/>
    <col min="6420" max="6420" width="16.375" style="322" customWidth="1"/>
    <col min="6421" max="6458" width="15.125" style="322" customWidth="1"/>
    <col min="6459" max="6459" width="10.875" style="322" customWidth="1"/>
    <col min="6460" max="6460" width="7.125" style="322" customWidth="1"/>
    <col min="6461" max="6461" width="13" style="322" customWidth="1"/>
    <col min="6462" max="6523" width="12.375" style="322" customWidth="1"/>
    <col min="6524" max="6656" width="9" style="322"/>
    <col min="6657" max="6657" width="24.375" style="322" customWidth="1"/>
    <col min="6658" max="6675" width="15.75" style="322" customWidth="1"/>
    <col min="6676" max="6676" width="16.375" style="322" customWidth="1"/>
    <col min="6677" max="6714" width="15.125" style="322" customWidth="1"/>
    <col min="6715" max="6715" width="10.875" style="322" customWidth="1"/>
    <col min="6716" max="6716" width="7.125" style="322" customWidth="1"/>
    <col min="6717" max="6717" width="13" style="322" customWidth="1"/>
    <col min="6718" max="6779" width="12.375" style="322" customWidth="1"/>
    <col min="6780" max="6912" width="9" style="322"/>
    <col min="6913" max="6913" width="24.375" style="322" customWidth="1"/>
    <col min="6914" max="6931" width="15.75" style="322" customWidth="1"/>
    <col min="6932" max="6932" width="16.375" style="322" customWidth="1"/>
    <col min="6933" max="6970" width="15.125" style="322" customWidth="1"/>
    <col min="6971" max="6971" width="10.875" style="322" customWidth="1"/>
    <col min="6972" max="6972" width="7.125" style="322" customWidth="1"/>
    <col min="6973" max="6973" width="13" style="322" customWidth="1"/>
    <col min="6974" max="7035" width="12.375" style="322" customWidth="1"/>
    <col min="7036" max="7168" width="9" style="322"/>
    <col min="7169" max="7169" width="24.375" style="322" customWidth="1"/>
    <col min="7170" max="7187" width="15.75" style="322" customWidth="1"/>
    <col min="7188" max="7188" width="16.375" style="322" customWidth="1"/>
    <col min="7189" max="7226" width="15.125" style="322" customWidth="1"/>
    <col min="7227" max="7227" width="10.875" style="322" customWidth="1"/>
    <col min="7228" max="7228" width="7.125" style="322" customWidth="1"/>
    <col min="7229" max="7229" width="13" style="322" customWidth="1"/>
    <col min="7230" max="7291" width="12.375" style="322" customWidth="1"/>
    <col min="7292" max="7424" width="9" style="322"/>
    <col min="7425" max="7425" width="24.375" style="322" customWidth="1"/>
    <col min="7426" max="7443" width="15.75" style="322" customWidth="1"/>
    <col min="7444" max="7444" width="16.375" style="322" customWidth="1"/>
    <col min="7445" max="7482" width="15.125" style="322" customWidth="1"/>
    <col min="7483" max="7483" width="10.875" style="322" customWidth="1"/>
    <col min="7484" max="7484" width="7.125" style="322" customWidth="1"/>
    <col min="7485" max="7485" width="13" style="322" customWidth="1"/>
    <col min="7486" max="7547" width="12.375" style="322" customWidth="1"/>
    <col min="7548" max="7680" width="9" style="322"/>
    <col min="7681" max="7681" width="24.375" style="322" customWidth="1"/>
    <col min="7682" max="7699" width="15.75" style="322" customWidth="1"/>
    <col min="7700" max="7700" width="16.375" style="322" customWidth="1"/>
    <col min="7701" max="7738" width="15.125" style="322" customWidth="1"/>
    <col min="7739" max="7739" width="10.875" style="322" customWidth="1"/>
    <col min="7740" max="7740" width="7.125" style="322" customWidth="1"/>
    <col min="7741" max="7741" width="13" style="322" customWidth="1"/>
    <col min="7742" max="7803" width="12.375" style="322" customWidth="1"/>
    <col min="7804" max="7936" width="9" style="322"/>
    <col min="7937" max="7937" width="24.375" style="322" customWidth="1"/>
    <col min="7938" max="7955" width="15.75" style="322" customWidth="1"/>
    <col min="7956" max="7956" width="16.375" style="322" customWidth="1"/>
    <col min="7957" max="7994" width="15.125" style="322" customWidth="1"/>
    <col min="7995" max="7995" width="10.875" style="322" customWidth="1"/>
    <col min="7996" max="7996" width="7.125" style="322" customWidth="1"/>
    <col min="7997" max="7997" width="13" style="322" customWidth="1"/>
    <col min="7998" max="8059" width="12.375" style="322" customWidth="1"/>
    <col min="8060" max="8192" width="9" style="322"/>
    <col min="8193" max="8193" width="24.375" style="322" customWidth="1"/>
    <col min="8194" max="8211" width="15.75" style="322" customWidth="1"/>
    <col min="8212" max="8212" width="16.375" style="322" customWidth="1"/>
    <col min="8213" max="8250" width="15.125" style="322" customWidth="1"/>
    <col min="8251" max="8251" width="10.875" style="322" customWidth="1"/>
    <col min="8252" max="8252" width="7.125" style="322" customWidth="1"/>
    <col min="8253" max="8253" width="13" style="322" customWidth="1"/>
    <col min="8254" max="8315" width="12.375" style="322" customWidth="1"/>
    <col min="8316" max="8448" width="9" style="322"/>
    <col min="8449" max="8449" width="24.375" style="322" customWidth="1"/>
    <col min="8450" max="8467" width="15.75" style="322" customWidth="1"/>
    <col min="8468" max="8468" width="16.375" style="322" customWidth="1"/>
    <col min="8469" max="8506" width="15.125" style="322" customWidth="1"/>
    <col min="8507" max="8507" width="10.875" style="322" customWidth="1"/>
    <col min="8508" max="8508" width="7.125" style="322" customWidth="1"/>
    <col min="8509" max="8509" width="13" style="322" customWidth="1"/>
    <col min="8510" max="8571" width="12.375" style="322" customWidth="1"/>
    <col min="8572" max="8704" width="9" style="322"/>
    <col min="8705" max="8705" width="24.375" style="322" customWidth="1"/>
    <col min="8706" max="8723" width="15.75" style="322" customWidth="1"/>
    <col min="8724" max="8724" width="16.375" style="322" customWidth="1"/>
    <col min="8725" max="8762" width="15.125" style="322" customWidth="1"/>
    <col min="8763" max="8763" width="10.875" style="322" customWidth="1"/>
    <col min="8764" max="8764" width="7.125" style="322" customWidth="1"/>
    <col min="8765" max="8765" width="13" style="322" customWidth="1"/>
    <col min="8766" max="8827" width="12.375" style="322" customWidth="1"/>
    <col min="8828" max="8960" width="9" style="322"/>
    <col min="8961" max="8961" width="24.375" style="322" customWidth="1"/>
    <col min="8962" max="8979" width="15.75" style="322" customWidth="1"/>
    <col min="8980" max="8980" width="16.375" style="322" customWidth="1"/>
    <col min="8981" max="9018" width="15.125" style="322" customWidth="1"/>
    <col min="9019" max="9019" width="10.875" style="322" customWidth="1"/>
    <col min="9020" max="9020" width="7.125" style="322" customWidth="1"/>
    <col min="9021" max="9021" width="13" style="322" customWidth="1"/>
    <col min="9022" max="9083" width="12.375" style="322" customWidth="1"/>
    <col min="9084" max="9216" width="9" style="322"/>
    <col min="9217" max="9217" width="24.375" style="322" customWidth="1"/>
    <col min="9218" max="9235" width="15.75" style="322" customWidth="1"/>
    <col min="9236" max="9236" width="16.375" style="322" customWidth="1"/>
    <col min="9237" max="9274" width="15.125" style="322" customWidth="1"/>
    <col min="9275" max="9275" width="10.875" style="322" customWidth="1"/>
    <col min="9276" max="9276" width="7.125" style="322" customWidth="1"/>
    <col min="9277" max="9277" width="13" style="322" customWidth="1"/>
    <col min="9278" max="9339" width="12.375" style="322" customWidth="1"/>
    <col min="9340" max="9472" width="9" style="322"/>
    <col min="9473" max="9473" width="24.375" style="322" customWidth="1"/>
    <col min="9474" max="9491" width="15.75" style="322" customWidth="1"/>
    <col min="9492" max="9492" width="16.375" style="322" customWidth="1"/>
    <col min="9493" max="9530" width="15.125" style="322" customWidth="1"/>
    <col min="9531" max="9531" width="10.875" style="322" customWidth="1"/>
    <col min="9532" max="9532" width="7.125" style="322" customWidth="1"/>
    <col min="9533" max="9533" width="13" style="322" customWidth="1"/>
    <col min="9534" max="9595" width="12.375" style="322" customWidth="1"/>
    <col min="9596" max="9728" width="9" style="322"/>
    <col min="9729" max="9729" width="24.375" style="322" customWidth="1"/>
    <col min="9730" max="9747" width="15.75" style="322" customWidth="1"/>
    <col min="9748" max="9748" width="16.375" style="322" customWidth="1"/>
    <col min="9749" max="9786" width="15.125" style="322" customWidth="1"/>
    <col min="9787" max="9787" width="10.875" style="322" customWidth="1"/>
    <col min="9788" max="9788" width="7.125" style="322" customWidth="1"/>
    <col min="9789" max="9789" width="13" style="322" customWidth="1"/>
    <col min="9790" max="9851" width="12.375" style="322" customWidth="1"/>
    <col min="9852" max="9984" width="9" style="322"/>
    <col min="9985" max="9985" width="24.375" style="322" customWidth="1"/>
    <col min="9986" max="10003" width="15.75" style="322" customWidth="1"/>
    <col min="10004" max="10004" width="16.375" style="322" customWidth="1"/>
    <col min="10005" max="10042" width="15.125" style="322" customWidth="1"/>
    <col min="10043" max="10043" width="10.875" style="322" customWidth="1"/>
    <col min="10044" max="10044" width="7.125" style="322" customWidth="1"/>
    <col min="10045" max="10045" width="13" style="322" customWidth="1"/>
    <col min="10046" max="10107" width="12.375" style="322" customWidth="1"/>
    <col min="10108" max="10240" width="9" style="322"/>
    <col min="10241" max="10241" width="24.375" style="322" customWidth="1"/>
    <col min="10242" max="10259" width="15.75" style="322" customWidth="1"/>
    <col min="10260" max="10260" width="16.375" style="322" customWidth="1"/>
    <col min="10261" max="10298" width="15.125" style="322" customWidth="1"/>
    <col min="10299" max="10299" width="10.875" style="322" customWidth="1"/>
    <col min="10300" max="10300" width="7.125" style="322" customWidth="1"/>
    <col min="10301" max="10301" width="13" style="322" customWidth="1"/>
    <col min="10302" max="10363" width="12.375" style="322" customWidth="1"/>
    <col min="10364" max="10496" width="9" style="322"/>
    <col min="10497" max="10497" width="24.375" style="322" customWidth="1"/>
    <col min="10498" max="10515" width="15.75" style="322" customWidth="1"/>
    <col min="10516" max="10516" width="16.375" style="322" customWidth="1"/>
    <col min="10517" max="10554" width="15.125" style="322" customWidth="1"/>
    <col min="10555" max="10555" width="10.875" style="322" customWidth="1"/>
    <col min="10556" max="10556" width="7.125" style="322" customWidth="1"/>
    <col min="10557" max="10557" width="13" style="322" customWidth="1"/>
    <col min="10558" max="10619" width="12.375" style="322" customWidth="1"/>
    <col min="10620" max="10752" width="9" style="322"/>
    <col min="10753" max="10753" width="24.375" style="322" customWidth="1"/>
    <col min="10754" max="10771" width="15.75" style="322" customWidth="1"/>
    <col min="10772" max="10772" width="16.375" style="322" customWidth="1"/>
    <col min="10773" max="10810" width="15.125" style="322" customWidth="1"/>
    <col min="10811" max="10811" width="10.875" style="322" customWidth="1"/>
    <col min="10812" max="10812" width="7.125" style="322" customWidth="1"/>
    <col min="10813" max="10813" width="13" style="322" customWidth="1"/>
    <col min="10814" max="10875" width="12.375" style="322" customWidth="1"/>
    <col min="10876" max="11008" width="9" style="322"/>
    <col min="11009" max="11009" width="24.375" style="322" customWidth="1"/>
    <col min="11010" max="11027" width="15.75" style="322" customWidth="1"/>
    <col min="11028" max="11028" width="16.375" style="322" customWidth="1"/>
    <col min="11029" max="11066" width="15.125" style="322" customWidth="1"/>
    <col min="11067" max="11067" width="10.875" style="322" customWidth="1"/>
    <col min="11068" max="11068" width="7.125" style="322" customWidth="1"/>
    <col min="11069" max="11069" width="13" style="322" customWidth="1"/>
    <col min="11070" max="11131" width="12.375" style="322" customWidth="1"/>
    <col min="11132" max="11264" width="9" style="322"/>
    <col min="11265" max="11265" width="24.375" style="322" customWidth="1"/>
    <col min="11266" max="11283" width="15.75" style="322" customWidth="1"/>
    <col min="11284" max="11284" width="16.375" style="322" customWidth="1"/>
    <col min="11285" max="11322" width="15.125" style="322" customWidth="1"/>
    <col min="11323" max="11323" width="10.875" style="322" customWidth="1"/>
    <col min="11324" max="11324" width="7.125" style="322" customWidth="1"/>
    <col min="11325" max="11325" width="13" style="322" customWidth="1"/>
    <col min="11326" max="11387" width="12.375" style="322" customWidth="1"/>
    <col min="11388" max="11520" width="9" style="322"/>
    <col min="11521" max="11521" width="24.375" style="322" customWidth="1"/>
    <col min="11522" max="11539" width="15.75" style="322" customWidth="1"/>
    <col min="11540" max="11540" width="16.375" style="322" customWidth="1"/>
    <col min="11541" max="11578" width="15.125" style="322" customWidth="1"/>
    <col min="11579" max="11579" width="10.875" style="322" customWidth="1"/>
    <col min="11580" max="11580" width="7.125" style="322" customWidth="1"/>
    <col min="11581" max="11581" width="13" style="322" customWidth="1"/>
    <col min="11582" max="11643" width="12.375" style="322" customWidth="1"/>
    <col min="11644" max="11776" width="9" style="322"/>
    <col min="11777" max="11777" width="24.375" style="322" customWidth="1"/>
    <col min="11778" max="11795" width="15.75" style="322" customWidth="1"/>
    <col min="11796" max="11796" width="16.375" style="322" customWidth="1"/>
    <col min="11797" max="11834" width="15.125" style="322" customWidth="1"/>
    <col min="11835" max="11835" width="10.875" style="322" customWidth="1"/>
    <col min="11836" max="11836" width="7.125" style="322" customWidth="1"/>
    <col min="11837" max="11837" width="13" style="322" customWidth="1"/>
    <col min="11838" max="11899" width="12.375" style="322" customWidth="1"/>
    <col min="11900" max="12032" width="9" style="322"/>
    <col min="12033" max="12033" width="24.375" style="322" customWidth="1"/>
    <col min="12034" max="12051" width="15.75" style="322" customWidth="1"/>
    <col min="12052" max="12052" width="16.375" style="322" customWidth="1"/>
    <col min="12053" max="12090" width="15.125" style="322" customWidth="1"/>
    <col min="12091" max="12091" width="10.875" style="322" customWidth="1"/>
    <col min="12092" max="12092" width="7.125" style="322" customWidth="1"/>
    <col min="12093" max="12093" width="13" style="322" customWidth="1"/>
    <col min="12094" max="12155" width="12.375" style="322" customWidth="1"/>
    <col min="12156" max="12288" width="9" style="322"/>
    <col min="12289" max="12289" width="24.375" style="322" customWidth="1"/>
    <col min="12290" max="12307" width="15.75" style="322" customWidth="1"/>
    <col min="12308" max="12308" width="16.375" style="322" customWidth="1"/>
    <col min="12309" max="12346" width="15.125" style="322" customWidth="1"/>
    <col min="12347" max="12347" width="10.875" style="322" customWidth="1"/>
    <col min="12348" max="12348" width="7.125" style="322" customWidth="1"/>
    <col min="12349" max="12349" width="13" style="322" customWidth="1"/>
    <col min="12350" max="12411" width="12.375" style="322" customWidth="1"/>
    <col min="12412" max="12544" width="9" style="322"/>
    <col min="12545" max="12545" width="24.375" style="322" customWidth="1"/>
    <col min="12546" max="12563" width="15.75" style="322" customWidth="1"/>
    <col min="12564" max="12564" width="16.375" style="322" customWidth="1"/>
    <col min="12565" max="12602" width="15.125" style="322" customWidth="1"/>
    <col min="12603" max="12603" width="10.875" style="322" customWidth="1"/>
    <col min="12604" max="12604" width="7.125" style="322" customWidth="1"/>
    <col min="12605" max="12605" width="13" style="322" customWidth="1"/>
    <col min="12606" max="12667" width="12.375" style="322" customWidth="1"/>
    <col min="12668" max="12800" width="9" style="322"/>
    <col min="12801" max="12801" width="24.375" style="322" customWidth="1"/>
    <col min="12802" max="12819" width="15.75" style="322" customWidth="1"/>
    <col min="12820" max="12820" width="16.375" style="322" customWidth="1"/>
    <col min="12821" max="12858" width="15.125" style="322" customWidth="1"/>
    <col min="12859" max="12859" width="10.875" style="322" customWidth="1"/>
    <col min="12860" max="12860" width="7.125" style="322" customWidth="1"/>
    <col min="12861" max="12861" width="13" style="322" customWidth="1"/>
    <col min="12862" max="12923" width="12.375" style="322" customWidth="1"/>
    <col min="12924" max="13056" width="9" style="322"/>
    <col min="13057" max="13057" width="24.375" style="322" customWidth="1"/>
    <col min="13058" max="13075" width="15.75" style="322" customWidth="1"/>
    <col min="13076" max="13076" width="16.375" style="322" customWidth="1"/>
    <col min="13077" max="13114" width="15.125" style="322" customWidth="1"/>
    <col min="13115" max="13115" width="10.875" style="322" customWidth="1"/>
    <col min="13116" max="13116" width="7.125" style="322" customWidth="1"/>
    <col min="13117" max="13117" width="13" style="322" customWidth="1"/>
    <col min="13118" max="13179" width="12.375" style="322" customWidth="1"/>
    <col min="13180" max="13312" width="9" style="322"/>
    <col min="13313" max="13313" width="24.375" style="322" customWidth="1"/>
    <col min="13314" max="13331" width="15.75" style="322" customWidth="1"/>
    <col min="13332" max="13332" width="16.375" style="322" customWidth="1"/>
    <col min="13333" max="13370" width="15.125" style="322" customWidth="1"/>
    <col min="13371" max="13371" width="10.875" style="322" customWidth="1"/>
    <col min="13372" max="13372" width="7.125" style="322" customWidth="1"/>
    <col min="13373" max="13373" width="13" style="322" customWidth="1"/>
    <col min="13374" max="13435" width="12.375" style="322" customWidth="1"/>
    <col min="13436" max="13568" width="9" style="322"/>
    <col min="13569" max="13569" width="24.375" style="322" customWidth="1"/>
    <col min="13570" max="13587" width="15.75" style="322" customWidth="1"/>
    <col min="13588" max="13588" width="16.375" style="322" customWidth="1"/>
    <col min="13589" max="13626" width="15.125" style="322" customWidth="1"/>
    <col min="13627" max="13627" width="10.875" style="322" customWidth="1"/>
    <col min="13628" max="13628" width="7.125" style="322" customWidth="1"/>
    <col min="13629" max="13629" width="13" style="322" customWidth="1"/>
    <col min="13630" max="13691" width="12.375" style="322" customWidth="1"/>
    <col min="13692" max="13824" width="9" style="322"/>
    <col min="13825" max="13825" width="24.375" style="322" customWidth="1"/>
    <col min="13826" max="13843" width="15.75" style="322" customWidth="1"/>
    <col min="13844" max="13844" width="16.375" style="322" customWidth="1"/>
    <col min="13845" max="13882" width="15.125" style="322" customWidth="1"/>
    <col min="13883" max="13883" width="10.875" style="322" customWidth="1"/>
    <col min="13884" max="13884" width="7.125" style="322" customWidth="1"/>
    <col min="13885" max="13885" width="13" style="322" customWidth="1"/>
    <col min="13886" max="13947" width="12.375" style="322" customWidth="1"/>
    <col min="13948" max="14080" width="9" style="322"/>
    <col min="14081" max="14081" width="24.375" style="322" customWidth="1"/>
    <col min="14082" max="14099" width="15.75" style="322" customWidth="1"/>
    <col min="14100" max="14100" width="16.375" style="322" customWidth="1"/>
    <col min="14101" max="14138" width="15.125" style="322" customWidth="1"/>
    <col min="14139" max="14139" width="10.875" style="322" customWidth="1"/>
    <col min="14140" max="14140" width="7.125" style="322" customWidth="1"/>
    <col min="14141" max="14141" width="13" style="322" customWidth="1"/>
    <col min="14142" max="14203" width="12.375" style="322" customWidth="1"/>
    <col min="14204" max="14336" width="9" style="322"/>
    <col min="14337" max="14337" width="24.375" style="322" customWidth="1"/>
    <col min="14338" max="14355" width="15.75" style="322" customWidth="1"/>
    <col min="14356" max="14356" width="16.375" style="322" customWidth="1"/>
    <col min="14357" max="14394" width="15.125" style="322" customWidth="1"/>
    <col min="14395" max="14395" width="10.875" style="322" customWidth="1"/>
    <col min="14396" max="14396" width="7.125" style="322" customWidth="1"/>
    <col min="14397" max="14397" width="13" style="322" customWidth="1"/>
    <col min="14398" max="14459" width="12.375" style="322" customWidth="1"/>
    <col min="14460" max="14592" width="9" style="322"/>
    <col min="14593" max="14593" width="24.375" style="322" customWidth="1"/>
    <col min="14594" max="14611" width="15.75" style="322" customWidth="1"/>
    <col min="14612" max="14612" width="16.375" style="322" customWidth="1"/>
    <col min="14613" max="14650" width="15.125" style="322" customWidth="1"/>
    <col min="14651" max="14651" width="10.875" style="322" customWidth="1"/>
    <col min="14652" max="14652" width="7.125" style="322" customWidth="1"/>
    <col min="14653" max="14653" width="13" style="322" customWidth="1"/>
    <col min="14654" max="14715" width="12.375" style="322" customWidth="1"/>
    <col min="14716" max="14848" width="9" style="322"/>
    <col min="14849" max="14849" width="24.375" style="322" customWidth="1"/>
    <col min="14850" max="14867" width="15.75" style="322" customWidth="1"/>
    <col min="14868" max="14868" width="16.375" style="322" customWidth="1"/>
    <col min="14869" max="14906" width="15.125" style="322" customWidth="1"/>
    <col min="14907" max="14907" width="10.875" style="322" customWidth="1"/>
    <col min="14908" max="14908" width="7.125" style="322" customWidth="1"/>
    <col min="14909" max="14909" width="13" style="322" customWidth="1"/>
    <col min="14910" max="14971" width="12.375" style="322" customWidth="1"/>
    <col min="14972" max="15104" width="9" style="322"/>
    <col min="15105" max="15105" width="24.375" style="322" customWidth="1"/>
    <col min="15106" max="15123" width="15.75" style="322" customWidth="1"/>
    <col min="15124" max="15124" width="16.375" style="322" customWidth="1"/>
    <col min="15125" max="15162" width="15.125" style="322" customWidth="1"/>
    <col min="15163" max="15163" width="10.875" style="322" customWidth="1"/>
    <col min="15164" max="15164" width="7.125" style="322" customWidth="1"/>
    <col min="15165" max="15165" width="13" style="322" customWidth="1"/>
    <col min="15166" max="15227" width="12.375" style="322" customWidth="1"/>
    <col min="15228" max="15360" width="9" style="322"/>
    <col min="15361" max="15361" width="24.375" style="322" customWidth="1"/>
    <col min="15362" max="15379" width="15.75" style="322" customWidth="1"/>
    <col min="15380" max="15380" width="16.375" style="322" customWidth="1"/>
    <col min="15381" max="15418" width="15.125" style="322" customWidth="1"/>
    <col min="15419" max="15419" width="10.875" style="322" customWidth="1"/>
    <col min="15420" max="15420" width="7.125" style="322" customWidth="1"/>
    <col min="15421" max="15421" width="13" style="322" customWidth="1"/>
    <col min="15422" max="15483" width="12.375" style="322" customWidth="1"/>
    <col min="15484" max="15616" width="9" style="322"/>
    <col min="15617" max="15617" width="24.375" style="322" customWidth="1"/>
    <col min="15618" max="15635" width="15.75" style="322" customWidth="1"/>
    <col min="15636" max="15636" width="16.375" style="322" customWidth="1"/>
    <col min="15637" max="15674" width="15.125" style="322" customWidth="1"/>
    <col min="15675" max="15675" width="10.875" style="322" customWidth="1"/>
    <col min="15676" max="15676" width="7.125" style="322" customWidth="1"/>
    <col min="15677" max="15677" width="13" style="322" customWidth="1"/>
    <col min="15678" max="15739" width="12.375" style="322" customWidth="1"/>
    <col min="15740" max="15872" width="9" style="322"/>
    <col min="15873" max="15873" width="24.375" style="322" customWidth="1"/>
    <col min="15874" max="15891" width="15.75" style="322" customWidth="1"/>
    <col min="15892" max="15892" width="16.375" style="322" customWidth="1"/>
    <col min="15893" max="15930" width="15.125" style="322" customWidth="1"/>
    <col min="15931" max="15931" width="10.875" style="322" customWidth="1"/>
    <col min="15932" max="15932" width="7.125" style="322" customWidth="1"/>
    <col min="15933" max="15933" width="13" style="322" customWidth="1"/>
    <col min="15934" max="15995" width="12.375" style="322" customWidth="1"/>
    <col min="15996" max="16128" width="9" style="322"/>
    <col min="16129" max="16129" width="24.375" style="322" customWidth="1"/>
    <col min="16130" max="16147" width="15.75" style="322" customWidth="1"/>
    <col min="16148" max="16148" width="16.375" style="322" customWidth="1"/>
    <col min="16149" max="16186" width="15.125" style="322" customWidth="1"/>
    <col min="16187" max="16187" width="10.875" style="322" customWidth="1"/>
    <col min="16188" max="16188" width="7.125" style="322" customWidth="1"/>
    <col min="16189" max="16189" width="13" style="322" customWidth="1"/>
    <col min="16190" max="16251" width="12.375" style="322" customWidth="1"/>
    <col min="16252" max="16384" width="9" style="322"/>
  </cols>
  <sheetData>
    <row r="1" spans="1:92" ht="12" x14ac:dyDescent="0.15">
      <c r="A1" s="267"/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321"/>
      <c r="AO1" s="321"/>
      <c r="AP1" s="321"/>
      <c r="AQ1" s="321"/>
      <c r="AR1" s="321"/>
      <c r="AS1" s="321"/>
      <c r="AT1" s="321"/>
      <c r="AU1" s="321"/>
      <c r="AV1" s="321"/>
      <c r="AW1" s="321"/>
      <c r="AX1" s="321"/>
      <c r="AY1" s="321"/>
      <c r="AZ1" s="321"/>
      <c r="BA1" s="321"/>
      <c r="BB1" s="321"/>
      <c r="BC1" s="321"/>
      <c r="BD1" s="321"/>
      <c r="BE1" s="321"/>
      <c r="BF1" s="321"/>
    </row>
    <row r="2" spans="1:92" ht="12" x14ac:dyDescent="0.15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321"/>
      <c r="BE2" s="321"/>
      <c r="BF2" s="321"/>
    </row>
    <row r="3" spans="1:92" ht="22.5" customHeight="1" x14ac:dyDescent="0.3">
      <c r="A3" s="555" t="s">
        <v>259</v>
      </c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T3" s="555"/>
      <c r="U3" s="555" t="s">
        <v>259</v>
      </c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  <c r="AH3" s="555"/>
      <c r="AI3" s="555"/>
      <c r="AJ3" s="555"/>
      <c r="AK3" s="555"/>
      <c r="AL3" s="555"/>
      <c r="AM3" s="555"/>
      <c r="AN3" s="556" t="s">
        <v>260</v>
      </c>
      <c r="AO3" s="556"/>
      <c r="AP3" s="556"/>
      <c r="AQ3" s="556"/>
      <c r="AR3" s="556"/>
      <c r="AS3" s="556"/>
      <c r="AT3" s="556"/>
      <c r="AU3" s="556"/>
      <c r="AV3" s="556"/>
      <c r="AW3" s="556"/>
      <c r="AX3" s="556"/>
      <c r="AY3" s="556"/>
      <c r="AZ3" s="556"/>
      <c r="BA3" s="556"/>
      <c r="BB3" s="556"/>
      <c r="BC3" s="556"/>
      <c r="BD3" s="556"/>
      <c r="BE3" s="556"/>
      <c r="BF3" s="556"/>
    </row>
    <row r="4" spans="1:92" ht="22.5" customHeight="1" x14ac:dyDescent="0.3">
      <c r="A4" s="555" t="s">
        <v>261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 t="s">
        <v>262</v>
      </c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555"/>
      <c r="AH4" s="555"/>
      <c r="AI4" s="555"/>
      <c r="AJ4" s="555"/>
      <c r="AK4" s="555"/>
      <c r="AL4" s="555"/>
      <c r="AM4" s="555"/>
      <c r="AN4" s="556" t="s">
        <v>263</v>
      </c>
      <c r="AO4" s="556"/>
      <c r="AP4" s="556"/>
      <c r="AQ4" s="556"/>
      <c r="AR4" s="556"/>
      <c r="AS4" s="556"/>
      <c r="AT4" s="556"/>
      <c r="AU4" s="556"/>
      <c r="AV4" s="556"/>
      <c r="AW4" s="556"/>
      <c r="AX4" s="556"/>
      <c r="AY4" s="556"/>
      <c r="AZ4" s="556"/>
      <c r="BA4" s="556"/>
      <c r="BB4" s="556"/>
      <c r="BC4" s="556"/>
      <c r="BD4" s="556"/>
      <c r="BE4" s="556"/>
      <c r="BF4" s="556"/>
    </row>
    <row r="5" spans="1:92" ht="20.25" x14ac:dyDescent="0.3">
      <c r="A5" s="323"/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275" t="str">
        <f>BF5</f>
        <v>по состоянию на ____________________</v>
      </c>
      <c r="U5" s="323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275" t="str">
        <f>BF5</f>
        <v>по состоянию на ____________________</v>
      </c>
      <c r="AN5" s="325"/>
      <c r="AO5" s="326"/>
      <c r="AP5" s="326"/>
      <c r="AQ5" s="326"/>
      <c r="AR5" s="326"/>
      <c r="AS5" s="326"/>
      <c r="AT5" s="326"/>
      <c r="AU5" s="326"/>
      <c r="AV5" s="326"/>
      <c r="AW5" s="326"/>
      <c r="AX5" s="326"/>
      <c r="AY5" s="326"/>
      <c r="AZ5" s="326"/>
      <c r="BA5" s="326"/>
      <c r="BB5" s="326"/>
      <c r="BC5" s="326"/>
      <c r="BD5" s="326"/>
      <c r="BE5" s="326"/>
      <c r="BF5" s="14" t="s">
        <v>276</v>
      </c>
    </row>
    <row r="6" spans="1:92" ht="16.5" x14ac:dyDescent="0.25">
      <c r="A6" s="276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327" t="s">
        <v>264</v>
      </c>
      <c r="U6" s="27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327" t="s">
        <v>265</v>
      </c>
      <c r="AN6" s="328"/>
      <c r="AO6" s="329"/>
      <c r="AP6" s="329"/>
      <c r="AQ6" s="329"/>
      <c r="AR6" s="329"/>
      <c r="AS6" s="329"/>
      <c r="AT6" s="329"/>
      <c r="AU6" s="329"/>
      <c r="AV6" s="329"/>
      <c r="AW6" s="329"/>
      <c r="AX6" s="329"/>
      <c r="AY6" s="329"/>
      <c r="AZ6" s="329"/>
      <c r="BA6" s="329"/>
      <c r="BB6" s="329"/>
      <c r="BC6" s="329"/>
      <c r="BD6" s="329"/>
      <c r="BE6" s="329"/>
      <c r="BF6" s="330" t="s">
        <v>266</v>
      </c>
    </row>
    <row r="7" spans="1:92" ht="17.25" thickBot="1" x14ac:dyDescent="0.3">
      <c r="A7" s="276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327"/>
      <c r="U7" s="27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331"/>
      <c r="AO7" s="332"/>
      <c r="AP7" s="332"/>
      <c r="AQ7" s="332"/>
      <c r="AR7" s="332"/>
      <c r="AS7" s="332"/>
      <c r="AT7" s="332"/>
      <c r="AU7" s="332"/>
      <c r="AV7" s="332"/>
      <c r="AW7" s="332"/>
      <c r="AX7" s="332"/>
      <c r="AY7" s="332"/>
      <c r="AZ7" s="332"/>
      <c r="BA7" s="332"/>
      <c r="BB7" s="332"/>
      <c r="BC7" s="332"/>
      <c r="BD7" s="332"/>
      <c r="BE7" s="332"/>
      <c r="BF7" s="332"/>
    </row>
    <row r="8" spans="1:92" s="333" customFormat="1" ht="17.25" customHeight="1" thickTop="1" thickBot="1" x14ac:dyDescent="0.2">
      <c r="A8" s="518" t="s">
        <v>8</v>
      </c>
      <c r="B8" s="446" t="s">
        <v>190</v>
      </c>
      <c r="C8" s="581"/>
      <c r="D8" s="581"/>
      <c r="E8" s="581"/>
      <c r="F8" s="581"/>
      <c r="G8" s="581"/>
      <c r="H8" s="581"/>
      <c r="I8" s="582"/>
      <c r="J8" s="446" t="s">
        <v>191</v>
      </c>
      <c r="K8" s="581"/>
      <c r="L8" s="581"/>
      <c r="M8" s="581"/>
      <c r="N8" s="581"/>
      <c r="O8" s="581"/>
      <c r="P8" s="581"/>
      <c r="Q8" s="581"/>
      <c r="R8" s="581"/>
      <c r="S8" s="582"/>
      <c r="T8" s="583" t="s">
        <v>267</v>
      </c>
      <c r="U8" s="567" t="s">
        <v>190</v>
      </c>
      <c r="V8" s="568"/>
      <c r="W8" s="568"/>
      <c r="X8" s="568"/>
      <c r="Y8" s="568"/>
      <c r="Z8" s="568"/>
      <c r="AA8" s="568"/>
      <c r="AB8" s="568"/>
      <c r="AC8" s="569" t="s">
        <v>191</v>
      </c>
      <c r="AD8" s="569"/>
      <c r="AE8" s="569"/>
      <c r="AF8" s="569"/>
      <c r="AG8" s="569"/>
      <c r="AH8" s="569"/>
      <c r="AI8" s="569"/>
      <c r="AJ8" s="569"/>
      <c r="AK8" s="569"/>
      <c r="AL8" s="569"/>
      <c r="AM8" s="564" t="s">
        <v>268</v>
      </c>
      <c r="AN8" s="567" t="s">
        <v>190</v>
      </c>
      <c r="AO8" s="568"/>
      <c r="AP8" s="568"/>
      <c r="AQ8" s="568"/>
      <c r="AR8" s="568"/>
      <c r="AS8" s="568"/>
      <c r="AT8" s="568"/>
      <c r="AU8" s="568"/>
      <c r="AV8" s="569" t="s">
        <v>191</v>
      </c>
      <c r="AW8" s="569"/>
      <c r="AX8" s="569"/>
      <c r="AY8" s="569"/>
      <c r="AZ8" s="569"/>
      <c r="BA8" s="569"/>
      <c r="BB8" s="569"/>
      <c r="BC8" s="569"/>
      <c r="BD8" s="569"/>
      <c r="BE8" s="569"/>
      <c r="BF8" s="564" t="s">
        <v>268</v>
      </c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</row>
    <row r="9" spans="1:92" s="333" customFormat="1" ht="17.25" customHeight="1" thickBot="1" x14ac:dyDescent="0.2">
      <c r="A9" s="519"/>
      <c r="B9" s="571" t="s">
        <v>193</v>
      </c>
      <c r="C9" s="572"/>
      <c r="D9" s="451" t="s">
        <v>194</v>
      </c>
      <c r="E9" s="575"/>
      <c r="F9" s="575"/>
      <c r="G9" s="575"/>
      <c r="H9" s="575"/>
      <c r="I9" s="452"/>
      <c r="J9" s="571" t="s">
        <v>195</v>
      </c>
      <c r="K9" s="572"/>
      <c r="L9" s="451" t="s">
        <v>196</v>
      </c>
      <c r="M9" s="575"/>
      <c r="N9" s="575"/>
      <c r="O9" s="575"/>
      <c r="P9" s="575"/>
      <c r="Q9" s="575"/>
      <c r="R9" s="575"/>
      <c r="S9" s="452"/>
      <c r="T9" s="584"/>
      <c r="U9" s="576" t="s">
        <v>193</v>
      </c>
      <c r="V9" s="570"/>
      <c r="W9" s="577" t="s">
        <v>269</v>
      </c>
      <c r="X9" s="577"/>
      <c r="Y9" s="577"/>
      <c r="Z9" s="577"/>
      <c r="AA9" s="577"/>
      <c r="AB9" s="577"/>
      <c r="AC9" s="570" t="s">
        <v>195</v>
      </c>
      <c r="AD9" s="570"/>
      <c r="AE9" s="578" t="s">
        <v>196</v>
      </c>
      <c r="AF9" s="579"/>
      <c r="AG9" s="579"/>
      <c r="AH9" s="579"/>
      <c r="AI9" s="579"/>
      <c r="AJ9" s="579"/>
      <c r="AK9" s="579"/>
      <c r="AL9" s="580"/>
      <c r="AM9" s="565"/>
      <c r="AN9" s="576" t="s">
        <v>193</v>
      </c>
      <c r="AO9" s="570"/>
      <c r="AP9" s="577" t="s">
        <v>269</v>
      </c>
      <c r="AQ9" s="577"/>
      <c r="AR9" s="577"/>
      <c r="AS9" s="577"/>
      <c r="AT9" s="577"/>
      <c r="AU9" s="577"/>
      <c r="AV9" s="570" t="s">
        <v>195</v>
      </c>
      <c r="AW9" s="570"/>
      <c r="AX9" s="577" t="s">
        <v>196</v>
      </c>
      <c r="AY9" s="577"/>
      <c r="AZ9" s="577"/>
      <c r="BA9" s="577"/>
      <c r="BB9" s="577"/>
      <c r="BC9" s="577"/>
      <c r="BD9" s="577"/>
      <c r="BE9" s="577"/>
      <c r="BF9" s="565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</row>
    <row r="10" spans="1:92" s="333" customFormat="1" ht="17.25" customHeight="1" thickBot="1" x14ac:dyDescent="0.2">
      <c r="A10" s="519"/>
      <c r="B10" s="573"/>
      <c r="C10" s="574"/>
      <c r="D10" s="451" t="s">
        <v>197</v>
      </c>
      <c r="E10" s="452"/>
      <c r="F10" s="451" t="s">
        <v>198</v>
      </c>
      <c r="G10" s="452"/>
      <c r="H10" s="18" t="s">
        <v>199</v>
      </c>
      <c r="I10" s="19"/>
      <c r="J10" s="573"/>
      <c r="K10" s="574"/>
      <c r="L10" s="451" t="s">
        <v>197</v>
      </c>
      <c r="M10" s="452"/>
      <c r="N10" s="451" t="s">
        <v>200</v>
      </c>
      <c r="O10" s="452"/>
      <c r="P10" s="451" t="s">
        <v>270</v>
      </c>
      <c r="Q10" s="452"/>
      <c r="R10" s="451" t="s">
        <v>202</v>
      </c>
      <c r="S10" s="452"/>
      <c r="T10" s="584"/>
      <c r="U10" s="334"/>
      <c r="V10" s="335"/>
      <c r="W10" s="570" t="s">
        <v>197</v>
      </c>
      <c r="X10" s="570"/>
      <c r="Y10" s="570" t="s">
        <v>198</v>
      </c>
      <c r="Z10" s="570"/>
      <c r="AA10" s="570" t="s">
        <v>271</v>
      </c>
      <c r="AB10" s="570"/>
      <c r="AC10" s="336"/>
      <c r="AD10" s="336"/>
      <c r="AE10" s="570" t="s">
        <v>197</v>
      </c>
      <c r="AF10" s="570"/>
      <c r="AG10" s="570" t="s">
        <v>200</v>
      </c>
      <c r="AH10" s="570"/>
      <c r="AI10" s="570" t="s">
        <v>270</v>
      </c>
      <c r="AJ10" s="570"/>
      <c r="AK10" s="570" t="s">
        <v>202</v>
      </c>
      <c r="AL10" s="570"/>
      <c r="AM10" s="565"/>
      <c r="AN10" s="334"/>
      <c r="AO10" s="335"/>
      <c r="AP10" s="570" t="s">
        <v>197</v>
      </c>
      <c r="AQ10" s="570"/>
      <c r="AR10" s="570" t="s">
        <v>198</v>
      </c>
      <c r="AS10" s="570"/>
      <c r="AT10" s="570" t="s">
        <v>271</v>
      </c>
      <c r="AU10" s="570"/>
      <c r="AV10" s="336"/>
      <c r="AW10" s="336"/>
      <c r="AX10" s="570" t="s">
        <v>197</v>
      </c>
      <c r="AY10" s="570"/>
      <c r="AZ10" s="570" t="s">
        <v>200</v>
      </c>
      <c r="BA10" s="570"/>
      <c r="BB10" s="570" t="s">
        <v>270</v>
      </c>
      <c r="BC10" s="570"/>
      <c r="BD10" s="570" t="s">
        <v>202</v>
      </c>
      <c r="BE10" s="570"/>
      <c r="BF10" s="565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</row>
    <row r="11" spans="1:92" s="333" customFormat="1" ht="17.25" customHeight="1" thickBot="1" x14ac:dyDescent="0.2">
      <c r="A11" s="520"/>
      <c r="B11" s="23" t="s">
        <v>203</v>
      </c>
      <c r="C11" s="23" t="s">
        <v>204</v>
      </c>
      <c r="D11" s="23" t="s">
        <v>203</v>
      </c>
      <c r="E11" s="23" t="s">
        <v>204</v>
      </c>
      <c r="F11" s="23" t="s">
        <v>203</v>
      </c>
      <c r="G11" s="23" t="s">
        <v>204</v>
      </c>
      <c r="H11" s="23" t="s">
        <v>203</v>
      </c>
      <c r="I11" s="23" t="s">
        <v>204</v>
      </c>
      <c r="J11" s="23" t="s">
        <v>203</v>
      </c>
      <c r="K11" s="23" t="s">
        <v>204</v>
      </c>
      <c r="L11" s="23" t="s">
        <v>203</v>
      </c>
      <c r="M11" s="23" t="s">
        <v>204</v>
      </c>
      <c r="N11" s="23" t="s">
        <v>203</v>
      </c>
      <c r="O11" s="23" t="s">
        <v>204</v>
      </c>
      <c r="P11" s="23" t="s">
        <v>203</v>
      </c>
      <c r="Q11" s="23" t="s">
        <v>204</v>
      </c>
      <c r="R11" s="23" t="s">
        <v>203</v>
      </c>
      <c r="S11" s="23" t="s">
        <v>204</v>
      </c>
      <c r="T11" s="585"/>
      <c r="U11" s="337" t="s">
        <v>203</v>
      </c>
      <c r="V11" s="338" t="s">
        <v>206</v>
      </c>
      <c r="W11" s="339" t="s">
        <v>272</v>
      </c>
      <c r="X11" s="339" t="s">
        <v>206</v>
      </c>
      <c r="Y11" s="339" t="s">
        <v>205</v>
      </c>
      <c r="Z11" s="339" t="s">
        <v>206</v>
      </c>
      <c r="AA11" s="339" t="s">
        <v>205</v>
      </c>
      <c r="AB11" s="339" t="s">
        <v>206</v>
      </c>
      <c r="AC11" s="340" t="s">
        <v>205</v>
      </c>
      <c r="AD11" s="341" t="s">
        <v>206</v>
      </c>
      <c r="AE11" s="342" t="s">
        <v>205</v>
      </c>
      <c r="AF11" s="339" t="s">
        <v>204</v>
      </c>
      <c r="AG11" s="342" t="s">
        <v>205</v>
      </c>
      <c r="AH11" s="342" t="s">
        <v>206</v>
      </c>
      <c r="AI11" s="23" t="s">
        <v>203</v>
      </c>
      <c r="AJ11" s="23" t="s">
        <v>204</v>
      </c>
      <c r="AK11" s="342" t="s">
        <v>207</v>
      </c>
      <c r="AL11" s="342" t="s">
        <v>208</v>
      </c>
      <c r="AM11" s="566"/>
      <c r="AN11" s="337" t="s">
        <v>203</v>
      </c>
      <c r="AO11" s="343" t="s">
        <v>206</v>
      </c>
      <c r="AP11" s="339" t="s">
        <v>272</v>
      </c>
      <c r="AQ11" s="339" t="s">
        <v>206</v>
      </c>
      <c r="AR11" s="339" t="s">
        <v>205</v>
      </c>
      <c r="AS11" s="339" t="s">
        <v>206</v>
      </c>
      <c r="AT11" s="339" t="s">
        <v>205</v>
      </c>
      <c r="AU11" s="339" t="s">
        <v>206</v>
      </c>
      <c r="AV11" s="341" t="s">
        <v>205</v>
      </c>
      <c r="AW11" s="341" t="s">
        <v>206</v>
      </c>
      <c r="AX11" s="342" t="s">
        <v>205</v>
      </c>
      <c r="AY11" s="339" t="s">
        <v>204</v>
      </c>
      <c r="AZ11" s="339" t="s">
        <v>205</v>
      </c>
      <c r="BA11" s="342" t="s">
        <v>206</v>
      </c>
      <c r="BB11" s="23" t="s">
        <v>203</v>
      </c>
      <c r="BC11" s="23" t="s">
        <v>204</v>
      </c>
      <c r="BD11" s="339" t="s">
        <v>207</v>
      </c>
      <c r="BE11" s="342" t="s">
        <v>208</v>
      </c>
      <c r="BF11" s="566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</row>
    <row r="12" spans="1:92" ht="18" customHeight="1" thickBot="1" x14ac:dyDescent="0.3">
      <c r="A12" s="25">
        <v>1</v>
      </c>
      <c r="B12" s="26">
        <v>15</v>
      </c>
      <c r="C12" s="26">
        <v>16</v>
      </c>
      <c r="D12" s="26">
        <v>17</v>
      </c>
      <c r="E12" s="26">
        <v>18</v>
      </c>
      <c r="F12" s="26">
        <v>19</v>
      </c>
      <c r="G12" s="26">
        <v>20</v>
      </c>
      <c r="H12" s="26">
        <v>21</v>
      </c>
      <c r="I12" s="26">
        <v>22</v>
      </c>
      <c r="J12" s="26">
        <v>23</v>
      </c>
      <c r="K12" s="26">
        <v>24</v>
      </c>
      <c r="L12" s="26">
        <v>25</v>
      </c>
      <c r="M12" s="26">
        <v>26</v>
      </c>
      <c r="N12" s="26">
        <v>27</v>
      </c>
      <c r="O12" s="26">
        <v>28</v>
      </c>
      <c r="P12" s="26">
        <v>29</v>
      </c>
      <c r="Q12" s="26">
        <v>30</v>
      </c>
      <c r="R12" s="26">
        <v>31</v>
      </c>
      <c r="S12" s="26">
        <v>32</v>
      </c>
      <c r="T12" s="28">
        <v>33</v>
      </c>
      <c r="U12" s="344">
        <v>15</v>
      </c>
      <c r="V12" s="345">
        <v>16</v>
      </c>
      <c r="W12" s="345">
        <v>17</v>
      </c>
      <c r="X12" s="345">
        <v>18</v>
      </c>
      <c r="Y12" s="345">
        <v>19</v>
      </c>
      <c r="Z12" s="345">
        <v>20</v>
      </c>
      <c r="AA12" s="345">
        <v>21</v>
      </c>
      <c r="AB12" s="345">
        <v>22</v>
      </c>
      <c r="AC12" s="345">
        <v>23</v>
      </c>
      <c r="AD12" s="345">
        <v>24</v>
      </c>
      <c r="AE12" s="345">
        <v>25</v>
      </c>
      <c r="AF12" s="345">
        <v>26</v>
      </c>
      <c r="AG12" s="345">
        <v>27</v>
      </c>
      <c r="AH12" s="345">
        <v>28</v>
      </c>
      <c r="AI12" s="345">
        <v>29</v>
      </c>
      <c r="AJ12" s="345">
        <v>30</v>
      </c>
      <c r="AK12" s="345">
        <v>31</v>
      </c>
      <c r="AL12" s="345">
        <v>32</v>
      </c>
      <c r="AM12" s="346">
        <v>33</v>
      </c>
      <c r="AN12" s="344">
        <v>15</v>
      </c>
      <c r="AO12" s="345">
        <v>16</v>
      </c>
      <c r="AP12" s="345">
        <v>17</v>
      </c>
      <c r="AQ12" s="345">
        <v>18</v>
      </c>
      <c r="AR12" s="345">
        <v>19</v>
      </c>
      <c r="AS12" s="345">
        <v>20</v>
      </c>
      <c r="AT12" s="345">
        <v>21</v>
      </c>
      <c r="AU12" s="345">
        <v>22</v>
      </c>
      <c r="AV12" s="345">
        <v>23</v>
      </c>
      <c r="AW12" s="345">
        <v>24</v>
      </c>
      <c r="AX12" s="345">
        <v>25</v>
      </c>
      <c r="AY12" s="345">
        <v>26</v>
      </c>
      <c r="AZ12" s="345">
        <v>27</v>
      </c>
      <c r="BA12" s="345">
        <v>28</v>
      </c>
      <c r="BB12" s="345">
        <v>29</v>
      </c>
      <c r="BC12" s="345">
        <v>30</v>
      </c>
      <c r="BD12" s="345">
        <v>31</v>
      </c>
      <c r="BE12" s="345">
        <v>32</v>
      </c>
      <c r="BF12" s="346">
        <v>33</v>
      </c>
    </row>
    <row r="13" spans="1:92" ht="27.75" customHeight="1" x14ac:dyDescent="0.3">
      <c r="A13" s="288" t="str">
        <f>[1]Лист1!A14</f>
        <v>Баганский</v>
      </c>
      <c r="B13" s="347">
        <v>43</v>
      </c>
      <c r="C13" s="348">
        <v>708.9</v>
      </c>
      <c r="D13" s="347">
        <v>43</v>
      </c>
      <c r="E13" s="348">
        <v>708.9</v>
      </c>
      <c r="F13" s="347">
        <v>0</v>
      </c>
      <c r="G13" s="348">
        <v>0</v>
      </c>
      <c r="H13" s="347">
        <v>0</v>
      </c>
      <c r="I13" s="347">
        <v>0</v>
      </c>
      <c r="J13" s="347">
        <v>1</v>
      </c>
      <c r="K13" s="349">
        <v>23</v>
      </c>
      <c r="L13" s="347">
        <v>1</v>
      </c>
      <c r="M13" s="349">
        <v>23</v>
      </c>
      <c r="N13" s="347">
        <v>0</v>
      </c>
      <c r="O13" s="349">
        <v>0</v>
      </c>
      <c r="P13" s="347">
        <v>0</v>
      </c>
      <c r="Q13" s="347">
        <v>0</v>
      </c>
      <c r="R13" s="347">
        <v>0</v>
      </c>
      <c r="S13" s="347">
        <v>0</v>
      </c>
      <c r="T13" s="358" t="s">
        <v>273</v>
      </c>
      <c r="U13" s="358">
        <v>242</v>
      </c>
      <c r="V13" s="291">
        <v>3275.7049999999999</v>
      </c>
      <c r="W13" s="358">
        <v>157</v>
      </c>
      <c r="X13" s="291">
        <v>2345.1350000000002</v>
      </c>
      <c r="Y13" s="358">
        <v>85</v>
      </c>
      <c r="Z13" s="291">
        <v>930.57</v>
      </c>
      <c r="AA13" s="358">
        <v>0</v>
      </c>
      <c r="AB13" s="291">
        <v>0</v>
      </c>
      <c r="AC13" s="358">
        <v>0</v>
      </c>
      <c r="AD13" s="350">
        <v>0</v>
      </c>
      <c r="AE13" s="358">
        <v>0</v>
      </c>
      <c r="AF13" s="350">
        <v>0</v>
      </c>
      <c r="AG13" s="358">
        <v>0</v>
      </c>
      <c r="AH13" s="350">
        <v>0</v>
      </c>
      <c r="AI13" s="358">
        <v>0</v>
      </c>
      <c r="AJ13" s="350">
        <v>0</v>
      </c>
      <c r="AK13" s="358">
        <v>0</v>
      </c>
      <c r="AL13" s="350">
        <v>0</v>
      </c>
      <c r="AM13" s="358">
        <v>5</v>
      </c>
      <c r="AN13" s="358">
        <v>285</v>
      </c>
      <c r="AO13" s="291">
        <v>3984.605</v>
      </c>
      <c r="AP13" s="358">
        <v>200</v>
      </c>
      <c r="AQ13" s="291">
        <v>3054.0350000000003</v>
      </c>
      <c r="AR13" s="358">
        <v>85</v>
      </c>
      <c r="AS13" s="291">
        <v>930.57</v>
      </c>
      <c r="AT13" s="358">
        <v>0</v>
      </c>
      <c r="AU13" s="358">
        <v>0</v>
      </c>
      <c r="AV13" s="358">
        <v>1</v>
      </c>
      <c r="AW13" s="350">
        <v>23</v>
      </c>
      <c r="AX13" s="358">
        <v>1</v>
      </c>
      <c r="AY13" s="350">
        <v>23</v>
      </c>
      <c r="AZ13" s="358">
        <v>0</v>
      </c>
      <c r="BA13" s="350">
        <v>0</v>
      </c>
      <c r="BB13" s="358">
        <v>0</v>
      </c>
      <c r="BC13" s="350">
        <v>0</v>
      </c>
      <c r="BD13" s="358">
        <v>0</v>
      </c>
      <c r="BE13" s="350">
        <v>0</v>
      </c>
      <c r="BF13" s="358">
        <v>5</v>
      </c>
      <c r="BG13" s="351"/>
      <c r="BH13" s="351"/>
      <c r="BI13" s="352"/>
      <c r="BJ13" s="352"/>
      <c r="CM13" s="353"/>
      <c r="CN13" s="353"/>
    </row>
    <row r="14" spans="1:92" ht="27.75" customHeight="1" x14ac:dyDescent="0.3">
      <c r="A14" s="288" t="str">
        <f>[1]Лист1!A15</f>
        <v>Барабинский</v>
      </c>
      <c r="B14" s="347">
        <v>44</v>
      </c>
      <c r="C14" s="348">
        <v>704.846</v>
      </c>
      <c r="D14" s="347">
        <v>44</v>
      </c>
      <c r="E14" s="348">
        <v>704.846</v>
      </c>
      <c r="F14" s="347">
        <v>0</v>
      </c>
      <c r="G14" s="348">
        <v>0</v>
      </c>
      <c r="H14" s="347">
        <v>0</v>
      </c>
      <c r="I14" s="347">
        <v>0</v>
      </c>
      <c r="J14" s="347">
        <v>0</v>
      </c>
      <c r="K14" s="349">
        <v>0</v>
      </c>
      <c r="L14" s="347">
        <v>0</v>
      </c>
      <c r="M14" s="349">
        <v>0</v>
      </c>
      <c r="N14" s="347">
        <v>0</v>
      </c>
      <c r="O14" s="349">
        <v>0</v>
      </c>
      <c r="P14" s="347">
        <v>0</v>
      </c>
      <c r="Q14" s="347">
        <v>0</v>
      </c>
      <c r="R14" s="347">
        <v>0</v>
      </c>
      <c r="S14" s="347">
        <v>0</v>
      </c>
      <c r="T14" s="358" t="s">
        <v>273</v>
      </c>
      <c r="U14" s="358">
        <v>214</v>
      </c>
      <c r="V14" s="291">
        <v>2868.6099999999997</v>
      </c>
      <c r="W14" s="358">
        <v>153</v>
      </c>
      <c r="X14" s="291">
        <v>2192.06</v>
      </c>
      <c r="Y14" s="358">
        <v>61</v>
      </c>
      <c r="Z14" s="291">
        <v>676.54999999999984</v>
      </c>
      <c r="AA14" s="358">
        <v>0</v>
      </c>
      <c r="AB14" s="291">
        <v>0</v>
      </c>
      <c r="AC14" s="358">
        <v>1</v>
      </c>
      <c r="AD14" s="350">
        <v>49.67</v>
      </c>
      <c r="AE14" s="358">
        <v>1</v>
      </c>
      <c r="AF14" s="350">
        <v>49.67</v>
      </c>
      <c r="AG14" s="358">
        <v>0</v>
      </c>
      <c r="AH14" s="350">
        <v>0</v>
      </c>
      <c r="AI14" s="358">
        <v>0</v>
      </c>
      <c r="AJ14" s="350">
        <v>0</v>
      </c>
      <c r="AK14" s="358">
        <v>0</v>
      </c>
      <c r="AL14" s="350">
        <v>0</v>
      </c>
      <c r="AM14" s="358">
        <v>1</v>
      </c>
      <c r="AN14" s="358">
        <v>258</v>
      </c>
      <c r="AO14" s="291">
        <v>3573.4559999999997</v>
      </c>
      <c r="AP14" s="358">
        <v>197</v>
      </c>
      <c r="AQ14" s="291">
        <v>2896.9059999999999</v>
      </c>
      <c r="AR14" s="358">
        <v>61</v>
      </c>
      <c r="AS14" s="291">
        <v>676.54999999999984</v>
      </c>
      <c r="AT14" s="358">
        <v>0</v>
      </c>
      <c r="AU14" s="358">
        <v>0</v>
      </c>
      <c r="AV14" s="358">
        <v>1</v>
      </c>
      <c r="AW14" s="350">
        <v>49.67</v>
      </c>
      <c r="AX14" s="358">
        <v>1</v>
      </c>
      <c r="AY14" s="350">
        <v>49.67</v>
      </c>
      <c r="AZ14" s="358">
        <v>0</v>
      </c>
      <c r="BA14" s="350">
        <v>0</v>
      </c>
      <c r="BB14" s="358">
        <v>0</v>
      </c>
      <c r="BC14" s="350">
        <v>0</v>
      </c>
      <c r="BD14" s="358">
        <v>0</v>
      </c>
      <c r="BE14" s="350">
        <v>0</v>
      </c>
      <c r="BF14" s="358">
        <v>1</v>
      </c>
      <c r="BG14" s="351"/>
      <c r="BH14" s="351"/>
      <c r="BI14" s="352"/>
      <c r="BJ14" s="352"/>
      <c r="CM14" s="353"/>
      <c r="CN14" s="353"/>
    </row>
    <row r="15" spans="1:92" ht="27.75" customHeight="1" x14ac:dyDescent="0.3">
      <c r="A15" s="288" t="str">
        <f>[1]Лист1!A16</f>
        <v>Болотнинский</v>
      </c>
      <c r="B15" s="347">
        <v>15</v>
      </c>
      <c r="C15" s="348">
        <v>294.77</v>
      </c>
      <c r="D15" s="347">
        <v>12</v>
      </c>
      <c r="E15" s="348">
        <v>245.26999999999998</v>
      </c>
      <c r="F15" s="347">
        <v>3</v>
      </c>
      <c r="G15" s="348">
        <v>49.5</v>
      </c>
      <c r="H15" s="347">
        <v>0</v>
      </c>
      <c r="I15" s="347">
        <v>0</v>
      </c>
      <c r="J15" s="347">
        <v>2</v>
      </c>
      <c r="K15" s="349">
        <v>67.5</v>
      </c>
      <c r="L15" s="347">
        <v>2</v>
      </c>
      <c r="M15" s="349">
        <v>67.5</v>
      </c>
      <c r="N15" s="347">
        <v>0</v>
      </c>
      <c r="O15" s="349">
        <v>0</v>
      </c>
      <c r="P15" s="347">
        <v>0</v>
      </c>
      <c r="Q15" s="347">
        <v>0</v>
      </c>
      <c r="R15" s="347">
        <v>0</v>
      </c>
      <c r="S15" s="347">
        <v>0</v>
      </c>
      <c r="T15" s="358" t="s">
        <v>273</v>
      </c>
      <c r="U15" s="358">
        <v>192</v>
      </c>
      <c r="V15" s="291">
        <v>2771.5799999999995</v>
      </c>
      <c r="W15" s="358">
        <v>146</v>
      </c>
      <c r="X15" s="291">
        <v>2149.6299999999997</v>
      </c>
      <c r="Y15" s="358">
        <v>46</v>
      </c>
      <c r="Z15" s="291">
        <v>621.95000000000005</v>
      </c>
      <c r="AA15" s="358">
        <v>0</v>
      </c>
      <c r="AB15" s="291">
        <v>0</v>
      </c>
      <c r="AC15" s="358">
        <v>9</v>
      </c>
      <c r="AD15" s="350">
        <v>303.2</v>
      </c>
      <c r="AE15" s="358">
        <v>7</v>
      </c>
      <c r="AF15" s="350">
        <v>276.2</v>
      </c>
      <c r="AG15" s="358">
        <v>2</v>
      </c>
      <c r="AH15" s="350">
        <v>27</v>
      </c>
      <c r="AI15" s="358">
        <v>0</v>
      </c>
      <c r="AJ15" s="350">
        <v>0</v>
      </c>
      <c r="AK15" s="358">
        <v>0</v>
      </c>
      <c r="AL15" s="350">
        <v>0</v>
      </c>
      <c r="AM15" s="358">
        <v>2</v>
      </c>
      <c r="AN15" s="358">
        <v>207</v>
      </c>
      <c r="AO15" s="291">
        <v>3066.3499999999995</v>
      </c>
      <c r="AP15" s="358">
        <v>158</v>
      </c>
      <c r="AQ15" s="291">
        <v>2394.8999999999996</v>
      </c>
      <c r="AR15" s="358">
        <v>49</v>
      </c>
      <c r="AS15" s="291">
        <v>671.45</v>
      </c>
      <c r="AT15" s="358">
        <v>0</v>
      </c>
      <c r="AU15" s="358">
        <v>0</v>
      </c>
      <c r="AV15" s="358">
        <v>11</v>
      </c>
      <c r="AW15" s="350">
        <v>370.7</v>
      </c>
      <c r="AX15" s="358">
        <v>9</v>
      </c>
      <c r="AY15" s="350">
        <v>343.7</v>
      </c>
      <c r="AZ15" s="358">
        <v>2</v>
      </c>
      <c r="BA15" s="350">
        <v>27</v>
      </c>
      <c r="BB15" s="358">
        <v>0</v>
      </c>
      <c r="BC15" s="350">
        <v>0</v>
      </c>
      <c r="BD15" s="358">
        <v>0</v>
      </c>
      <c r="BE15" s="350">
        <v>0</v>
      </c>
      <c r="BF15" s="358">
        <v>2</v>
      </c>
      <c r="BG15" s="351"/>
      <c r="BH15" s="351"/>
      <c r="BI15" s="352"/>
      <c r="BJ15" s="352"/>
      <c r="CM15" s="353"/>
      <c r="CN15" s="353"/>
    </row>
    <row r="16" spans="1:92" ht="27.75" customHeight="1" x14ac:dyDescent="0.3">
      <c r="A16" s="288" t="str">
        <f>[1]Лист1!A17</f>
        <v>Венгеровский</v>
      </c>
      <c r="B16" s="354">
        <v>133</v>
      </c>
      <c r="C16" s="355">
        <v>2124.0799999999995</v>
      </c>
      <c r="D16" s="354">
        <v>129</v>
      </c>
      <c r="E16" s="355">
        <v>2060.9899999999993</v>
      </c>
      <c r="F16" s="354">
        <v>4</v>
      </c>
      <c r="G16" s="355">
        <v>63.089999999999996</v>
      </c>
      <c r="H16" s="354">
        <v>0</v>
      </c>
      <c r="I16" s="354">
        <v>0</v>
      </c>
      <c r="J16" s="354">
        <v>6</v>
      </c>
      <c r="K16" s="356">
        <v>513</v>
      </c>
      <c r="L16" s="354">
        <v>5</v>
      </c>
      <c r="M16" s="356">
        <v>373</v>
      </c>
      <c r="N16" s="354">
        <v>1</v>
      </c>
      <c r="O16" s="356">
        <v>140</v>
      </c>
      <c r="P16" s="354">
        <v>0</v>
      </c>
      <c r="Q16" s="354">
        <v>0</v>
      </c>
      <c r="R16" s="354">
        <v>0</v>
      </c>
      <c r="S16" s="354">
        <v>0</v>
      </c>
      <c r="T16" s="354" t="s">
        <v>273</v>
      </c>
      <c r="U16" s="416">
        <v>105</v>
      </c>
      <c r="V16" s="290">
        <v>1398.5450000000005</v>
      </c>
      <c r="W16" s="416">
        <v>90</v>
      </c>
      <c r="X16" s="290">
        <v>1231.2500000000002</v>
      </c>
      <c r="Y16" s="416">
        <v>15</v>
      </c>
      <c r="Z16" s="290">
        <v>167.29499999999999</v>
      </c>
      <c r="AA16" s="416">
        <v>0</v>
      </c>
      <c r="AB16" s="290">
        <v>0</v>
      </c>
      <c r="AC16" s="416">
        <v>5</v>
      </c>
      <c r="AD16" s="357">
        <v>246</v>
      </c>
      <c r="AE16" s="416">
        <v>4</v>
      </c>
      <c r="AF16" s="357">
        <v>223</v>
      </c>
      <c r="AG16" s="416">
        <v>1</v>
      </c>
      <c r="AH16" s="357">
        <v>23</v>
      </c>
      <c r="AI16" s="416">
        <v>0</v>
      </c>
      <c r="AJ16" s="357">
        <v>0</v>
      </c>
      <c r="AK16" s="416">
        <v>0</v>
      </c>
      <c r="AL16" s="357">
        <v>0</v>
      </c>
      <c r="AM16" s="416" t="s">
        <v>273</v>
      </c>
      <c r="AN16" s="416">
        <v>238</v>
      </c>
      <c r="AO16" s="290">
        <v>3522.625</v>
      </c>
      <c r="AP16" s="416">
        <v>219</v>
      </c>
      <c r="AQ16" s="290">
        <v>3292.24</v>
      </c>
      <c r="AR16" s="416">
        <v>19</v>
      </c>
      <c r="AS16" s="290">
        <v>230.38499999999999</v>
      </c>
      <c r="AT16" s="416">
        <v>0</v>
      </c>
      <c r="AU16" s="416">
        <v>0</v>
      </c>
      <c r="AV16" s="416">
        <v>11</v>
      </c>
      <c r="AW16" s="357">
        <v>759</v>
      </c>
      <c r="AX16" s="416">
        <v>9</v>
      </c>
      <c r="AY16" s="357">
        <v>596</v>
      </c>
      <c r="AZ16" s="416">
        <v>2</v>
      </c>
      <c r="BA16" s="357">
        <v>163</v>
      </c>
      <c r="BB16" s="416">
        <v>0</v>
      </c>
      <c r="BC16" s="357">
        <v>0</v>
      </c>
      <c r="BD16" s="416">
        <v>0</v>
      </c>
      <c r="BE16" s="357">
        <v>0</v>
      </c>
      <c r="BF16" s="416" t="s">
        <v>273</v>
      </c>
      <c r="BG16" s="351"/>
      <c r="BH16" s="351"/>
      <c r="BI16" s="352"/>
      <c r="BJ16" s="352"/>
      <c r="CM16" s="353"/>
      <c r="CN16" s="353"/>
    </row>
    <row r="17" spans="1:92" ht="27.75" customHeight="1" x14ac:dyDescent="0.3">
      <c r="A17" s="288" t="str">
        <f>[1]Лист1!A18</f>
        <v>Доволенский</v>
      </c>
      <c r="B17" s="347">
        <v>90</v>
      </c>
      <c r="C17" s="348">
        <v>1387.5050000000001</v>
      </c>
      <c r="D17" s="347">
        <v>87</v>
      </c>
      <c r="E17" s="348">
        <v>1349.5050000000001</v>
      </c>
      <c r="F17" s="347">
        <v>3</v>
      </c>
      <c r="G17" s="348">
        <v>38</v>
      </c>
      <c r="H17" s="347">
        <v>0</v>
      </c>
      <c r="I17" s="347">
        <v>0</v>
      </c>
      <c r="J17" s="347">
        <v>0</v>
      </c>
      <c r="K17" s="349">
        <v>0</v>
      </c>
      <c r="L17" s="347">
        <v>0</v>
      </c>
      <c r="M17" s="349">
        <v>0</v>
      </c>
      <c r="N17" s="347">
        <v>0</v>
      </c>
      <c r="O17" s="349">
        <v>0</v>
      </c>
      <c r="P17" s="347">
        <v>0</v>
      </c>
      <c r="Q17" s="347">
        <v>0</v>
      </c>
      <c r="R17" s="347">
        <v>0</v>
      </c>
      <c r="S17" s="347">
        <v>0</v>
      </c>
      <c r="T17" s="358" t="s">
        <v>273</v>
      </c>
      <c r="U17" s="358">
        <v>66</v>
      </c>
      <c r="V17" s="291">
        <v>843.04500000000007</v>
      </c>
      <c r="W17" s="358">
        <v>44</v>
      </c>
      <c r="X17" s="291">
        <v>585.09500000000003</v>
      </c>
      <c r="Y17" s="358">
        <v>22</v>
      </c>
      <c r="Z17" s="291">
        <v>257.95</v>
      </c>
      <c r="AA17" s="358">
        <v>0</v>
      </c>
      <c r="AB17" s="291">
        <v>0</v>
      </c>
      <c r="AC17" s="358">
        <v>2</v>
      </c>
      <c r="AD17" s="350">
        <v>81</v>
      </c>
      <c r="AE17" s="358">
        <v>2</v>
      </c>
      <c r="AF17" s="350">
        <v>81</v>
      </c>
      <c r="AG17" s="358">
        <v>0</v>
      </c>
      <c r="AH17" s="350">
        <v>0</v>
      </c>
      <c r="AI17" s="358">
        <v>0</v>
      </c>
      <c r="AJ17" s="350">
        <v>0</v>
      </c>
      <c r="AK17" s="358">
        <v>0</v>
      </c>
      <c r="AL17" s="350">
        <v>0</v>
      </c>
      <c r="AM17" s="358" t="s">
        <v>273</v>
      </c>
      <c r="AN17" s="358">
        <v>156</v>
      </c>
      <c r="AO17" s="291">
        <v>2230.5500000000002</v>
      </c>
      <c r="AP17" s="358">
        <v>131</v>
      </c>
      <c r="AQ17" s="291">
        <v>1934.6000000000001</v>
      </c>
      <c r="AR17" s="358">
        <v>25</v>
      </c>
      <c r="AS17" s="291">
        <v>295.95</v>
      </c>
      <c r="AT17" s="358">
        <v>0</v>
      </c>
      <c r="AU17" s="358">
        <v>0</v>
      </c>
      <c r="AV17" s="358">
        <v>2</v>
      </c>
      <c r="AW17" s="350">
        <v>81</v>
      </c>
      <c r="AX17" s="358">
        <v>2</v>
      </c>
      <c r="AY17" s="350">
        <v>81</v>
      </c>
      <c r="AZ17" s="358">
        <v>0</v>
      </c>
      <c r="BA17" s="350">
        <v>0</v>
      </c>
      <c r="BB17" s="358">
        <v>0</v>
      </c>
      <c r="BC17" s="350">
        <v>0</v>
      </c>
      <c r="BD17" s="358">
        <v>0</v>
      </c>
      <c r="BE17" s="350">
        <v>0</v>
      </c>
      <c r="BF17" s="358" t="s">
        <v>273</v>
      </c>
      <c r="BG17" s="351"/>
      <c r="BH17" s="351"/>
      <c r="BI17" s="352"/>
      <c r="BJ17" s="352"/>
      <c r="CM17" s="353"/>
      <c r="CN17" s="353"/>
    </row>
    <row r="18" spans="1:92" ht="27.75" customHeight="1" x14ac:dyDescent="0.3">
      <c r="A18" s="288" t="str">
        <f>[1]Лист1!A19</f>
        <v>Здвинский</v>
      </c>
      <c r="B18" s="347">
        <v>76</v>
      </c>
      <c r="C18" s="348">
        <v>1093.53</v>
      </c>
      <c r="D18" s="347">
        <v>73</v>
      </c>
      <c r="E18" s="348">
        <v>1056.4299999999998</v>
      </c>
      <c r="F18" s="347">
        <v>3</v>
      </c>
      <c r="G18" s="348">
        <v>37.099999999999994</v>
      </c>
      <c r="H18" s="347">
        <v>0</v>
      </c>
      <c r="I18" s="347">
        <v>0</v>
      </c>
      <c r="J18" s="347">
        <v>4</v>
      </c>
      <c r="K18" s="349">
        <v>233.82</v>
      </c>
      <c r="L18" s="347">
        <v>4</v>
      </c>
      <c r="M18" s="349">
        <v>233.82</v>
      </c>
      <c r="N18" s="347">
        <v>0</v>
      </c>
      <c r="O18" s="349">
        <v>0</v>
      </c>
      <c r="P18" s="347">
        <v>0</v>
      </c>
      <c r="Q18" s="347">
        <v>0</v>
      </c>
      <c r="R18" s="347">
        <v>0</v>
      </c>
      <c r="S18" s="347">
        <v>0</v>
      </c>
      <c r="T18" s="347" t="s">
        <v>273</v>
      </c>
      <c r="U18" s="358">
        <v>151</v>
      </c>
      <c r="V18" s="291">
        <v>2107.9500000000003</v>
      </c>
      <c r="W18" s="358">
        <v>141</v>
      </c>
      <c r="X18" s="291">
        <v>1950.3500000000001</v>
      </c>
      <c r="Y18" s="358">
        <v>10</v>
      </c>
      <c r="Z18" s="291">
        <v>157.6</v>
      </c>
      <c r="AA18" s="358">
        <v>0</v>
      </c>
      <c r="AB18" s="291">
        <v>0</v>
      </c>
      <c r="AC18" s="358">
        <v>2</v>
      </c>
      <c r="AD18" s="350">
        <v>100</v>
      </c>
      <c r="AE18" s="358">
        <v>2</v>
      </c>
      <c r="AF18" s="350">
        <v>100</v>
      </c>
      <c r="AG18" s="358">
        <v>0</v>
      </c>
      <c r="AH18" s="350">
        <v>0</v>
      </c>
      <c r="AI18" s="358">
        <v>0</v>
      </c>
      <c r="AJ18" s="350">
        <v>0</v>
      </c>
      <c r="AK18" s="358">
        <v>0</v>
      </c>
      <c r="AL18" s="350">
        <v>0</v>
      </c>
      <c r="AM18" s="358" t="s">
        <v>273</v>
      </c>
      <c r="AN18" s="358">
        <v>227</v>
      </c>
      <c r="AO18" s="291">
        <v>3201.4800000000005</v>
      </c>
      <c r="AP18" s="358">
        <v>214</v>
      </c>
      <c r="AQ18" s="291">
        <v>3006.7799999999997</v>
      </c>
      <c r="AR18" s="358">
        <v>13</v>
      </c>
      <c r="AS18" s="291">
        <v>194.7</v>
      </c>
      <c r="AT18" s="358">
        <v>0</v>
      </c>
      <c r="AU18" s="358">
        <v>0</v>
      </c>
      <c r="AV18" s="358">
        <v>6</v>
      </c>
      <c r="AW18" s="350">
        <v>333.82</v>
      </c>
      <c r="AX18" s="358">
        <v>6</v>
      </c>
      <c r="AY18" s="350">
        <v>333.82</v>
      </c>
      <c r="AZ18" s="358">
        <v>0</v>
      </c>
      <c r="BA18" s="350">
        <v>0</v>
      </c>
      <c r="BB18" s="358">
        <v>0</v>
      </c>
      <c r="BC18" s="350">
        <v>0</v>
      </c>
      <c r="BD18" s="358">
        <v>0</v>
      </c>
      <c r="BE18" s="350">
        <v>0</v>
      </c>
      <c r="BF18" s="358" t="s">
        <v>273</v>
      </c>
      <c r="BG18" s="351"/>
      <c r="BH18" s="351"/>
      <c r="BI18" s="352"/>
      <c r="BJ18" s="352"/>
      <c r="CM18" s="353"/>
      <c r="CN18" s="353"/>
    </row>
    <row r="19" spans="1:92" ht="27.75" customHeight="1" x14ac:dyDescent="0.3">
      <c r="A19" s="288" t="str">
        <f>[1]Лист1!A20</f>
        <v>Искитимский</v>
      </c>
      <c r="B19" s="347">
        <v>108</v>
      </c>
      <c r="C19" s="348">
        <v>2033.29</v>
      </c>
      <c r="D19" s="347">
        <v>87</v>
      </c>
      <c r="E19" s="348">
        <v>1557.37</v>
      </c>
      <c r="F19" s="347">
        <v>21</v>
      </c>
      <c r="G19" s="348">
        <v>475.91999999999996</v>
      </c>
      <c r="H19" s="347">
        <v>0</v>
      </c>
      <c r="I19" s="347">
        <v>0</v>
      </c>
      <c r="J19" s="347">
        <v>9</v>
      </c>
      <c r="K19" s="349">
        <v>444.74</v>
      </c>
      <c r="L19" s="347">
        <v>7</v>
      </c>
      <c r="M19" s="349">
        <v>246.44</v>
      </c>
      <c r="N19" s="347">
        <v>2</v>
      </c>
      <c r="O19" s="349">
        <v>198.3</v>
      </c>
      <c r="P19" s="347">
        <v>0</v>
      </c>
      <c r="Q19" s="347">
        <v>0</v>
      </c>
      <c r="R19" s="347">
        <v>0</v>
      </c>
      <c r="S19" s="347">
        <v>0</v>
      </c>
      <c r="T19" s="347" t="s">
        <v>273</v>
      </c>
      <c r="U19" s="358">
        <v>126</v>
      </c>
      <c r="V19" s="291">
        <v>2313.81</v>
      </c>
      <c r="W19" s="358">
        <v>100</v>
      </c>
      <c r="X19" s="291">
        <v>1760.53</v>
      </c>
      <c r="Y19" s="358">
        <v>26</v>
      </c>
      <c r="Z19" s="291">
        <v>553.28</v>
      </c>
      <c r="AA19" s="358">
        <v>0</v>
      </c>
      <c r="AB19" s="291">
        <v>0</v>
      </c>
      <c r="AC19" s="358">
        <v>8</v>
      </c>
      <c r="AD19" s="350">
        <v>250.12</v>
      </c>
      <c r="AE19" s="358">
        <v>7</v>
      </c>
      <c r="AF19" s="350">
        <v>237.12</v>
      </c>
      <c r="AG19" s="358">
        <v>1</v>
      </c>
      <c r="AH19" s="350">
        <v>13</v>
      </c>
      <c r="AI19" s="358">
        <v>0</v>
      </c>
      <c r="AJ19" s="350">
        <v>0</v>
      </c>
      <c r="AK19" s="358">
        <v>0</v>
      </c>
      <c r="AL19" s="350">
        <v>0</v>
      </c>
      <c r="AM19" s="358" t="s">
        <v>273</v>
      </c>
      <c r="AN19" s="358">
        <v>234</v>
      </c>
      <c r="AO19" s="291">
        <v>4347.1000000000004</v>
      </c>
      <c r="AP19" s="358">
        <v>187</v>
      </c>
      <c r="AQ19" s="291">
        <v>3317.8999999999996</v>
      </c>
      <c r="AR19" s="358">
        <v>47</v>
      </c>
      <c r="AS19" s="291">
        <v>1029.1999999999998</v>
      </c>
      <c r="AT19" s="358">
        <v>0</v>
      </c>
      <c r="AU19" s="358">
        <v>0</v>
      </c>
      <c r="AV19" s="358">
        <v>17</v>
      </c>
      <c r="AW19" s="350">
        <v>694.86</v>
      </c>
      <c r="AX19" s="358">
        <v>14</v>
      </c>
      <c r="AY19" s="350">
        <v>483.56</v>
      </c>
      <c r="AZ19" s="358">
        <v>3</v>
      </c>
      <c r="BA19" s="350">
        <v>211.3</v>
      </c>
      <c r="BB19" s="358">
        <v>0</v>
      </c>
      <c r="BC19" s="350">
        <v>0</v>
      </c>
      <c r="BD19" s="358">
        <v>0</v>
      </c>
      <c r="BE19" s="350">
        <v>0</v>
      </c>
      <c r="BF19" s="358" t="s">
        <v>273</v>
      </c>
      <c r="BG19" s="351"/>
      <c r="BH19" s="351"/>
      <c r="BI19" s="352"/>
      <c r="BJ19" s="352"/>
      <c r="CM19" s="353"/>
      <c r="CN19" s="353"/>
    </row>
    <row r="20" spans="1:92" ht="27.75" customHeight="1" x14ac:dyDescent="0.3">
      <c r="A20" s="288" t="str">
        <f>[1]Лист1!A21</f>
        <v>Карасукский</v>
      </c>
      <c r="B20" s="347">
        <v>39</v>
      </c>
      <c r="C20" s="348">
        <v>606.04000000000008</v>
      </c>
      <c r="D20" s="347">
        <v>39</v>
      </c>
      <c r="E20" s="348">
        <v>606.04000000000008</v>
      </c>
      <c r="F20" s="347">
        <v>0</v>
      </c>
      <c r="G20" s="348">
        <v>0</v>
      </c>
      <c r="H20" s="347">
        <v>0</v>
      </c>
      <c r="I20" s="347">
        <v>0</v>
      </c>
      <c r="J20" s="347">
        <v>3</v>
      </c>
      <c r="K20" s="349">
        <v>240</v>
      </c>
      <c r="L20" s="347">
        <v>3</v>
      </c>
      <c r="M20" s="349">
        <v>240</v>
      </c>
      <c r="N20" s="347">
        <v>0</v>
      </c>
      <c r="O20" s="349">
        <v>0</v>
      </c>
      <c r="P20" s="347">
        <v>0</v>
      </c>
      <c r="Q20" s="347">
        <v>0</v>
      </c>
      <c r="R20" s="347">
        <v>0</v>
      </c>
      <c r="S20" s="347">
        <v>0</v>
      </c>
      <c r="T20" s="347">
        <v>3</v>
      </c>
      <c r="U20" s="358">
        <v>123</v>
      </c>
      <c r="V20" s="291">
        <v>2039.6100000000001</v>
      </c>
      <c r="W20" s="358">
        <v>115</v>
      </c>
      <c r="X20" s="291">
        <v>1885.0200000000002</v>
      </c>
      <c r="Y20" s="358">
        <v>8</v>
      </c>
      <c r="Z20" s="291">
        <v>154.58999999999997</v>
      </c>
      <c r="AA20" s="358">
        <v>0</v>
      </c>
      <c r="AB20" s="291">
        <v>0</v>
      </c>
      <c r="AC20" s="358">
        <v>7</v>
      </c>
      <c r="AD20" s="350">
        <v>342</v>
      </c>
      <c r="AE20" s="358">
        <v>7</v>
      </c>
      <c r="AF20" s="350">
        <v>342</v>
      </c>
      <c r="AG20" s="358">
        <v>0</v>
      </c>
      <c r="AH20" s="350">
        <v>0</v>
      </c>
      <c r="AI20" s="358">
        <v>0</v>
      </c>
      <c r="AJ20" s="350">
        <v>0</v>
      </c>
      <c r="AK20" s="358">
        <v>0</v>
      </c>
      <c r="AL20" s="350">
        <v>0</v>
      </c>
      <c r="AM20" s="358">
        <v>5</v>
      </c>
      <c r="AN20" s="358">
        <v>162</v>
      </c>
      <c r="AO20" s="291">
        <v>2645.65</v>
      </c>
      <c r="AP20" s="358">
        <v>154</v>
      </c>
      <c r="AQ20" s="291">
        <v>2491.0600000000004</v>
      </c>
      <c r="AR20" s="358">
        <v>8</v>
      </c>
      <c r="AS20" s="291">
        <v>154.58999999999997</v>
      </c>
      <c r="AT20" s="358">
        <v>0</v>
      </c>
      <c r="AU20" s="358">
        <v>0</v>
      </c>
      <c r="AV20" s="358">
        <v>10</v>
      </c>
      <c r="AW20" s="350">
        <v>582</v>
      </c>
      <c r="AX20" s="358">
        <v>10</v>
      </c>
      <c r="AY20" s="350">
        <v>582</v>
      </c>
      <c r="AZ20" s="358">
        <v>0</v>
      </c>
      <c r="BA20" s="350">
        <v>0</v>
      </c>
      <c r="BB20" s="358">
        <v>0</v>
      </c>
      <c r="BC20" s="350">
        <v>0</v>
      </c>
      <c r="BD20" s="358">
        <v>0</v>
      </c>
      <c r="BE20" s="350">
        <v>0</v>
      </c>
      <c r="BF20" s="358">
        <v>8</v>
      </c>
      <c r="BG20" s="351"/>
      <c r="BH20" s="351"/>
      <c r="BI20" s="352"/>
      <c r="BJ20" s="352"/>
      <c r="CM20" s="353"/>
      <c r="CN20" s="353"/>
    </row>
    <row r="21" spans="1:92" ht="27.75" customHeight="1" x14ac:dyDescent="0.3">
      <c r="A21" s="288" t="str">
        <f>[1]Лист1!A22</f>
        <v>Каргатский</v>
      </c>
      <c r="B21" s="347">
        <v>31</v>
      </c>
      <c r="C21" s="348">
        <v>479.6</v>
      </c>
      <c r="D21" s="347">
        <v>25</v>
      </c>
      <c r="E21" s="348">
        <v>398.35</v>
      </c>
      <c r="F21" s="347">
        <v>6</v>
      </c>
      <c r="G21" s="348">
        <v>81.25</v>
      </c>
      <c r="H21" s="347">
        <v>0</v>
      </c>
      <c r="I21" s="347">
        <v>0</v>
      </c>
      <c r="J21" s="347">
        <v>3</v>
      </c>
      <c r="K21" s="349">
        <v>172</v>
      </c>
      <c r="L21" s="347">
        <v>2</v>
      </c>
      <c r="M21" s="349">
        <v>113</v>
      </c>
      <c r="N21" s="347">
        <v>1</v>
      </c>
      <c r="O21" s="349">
        <v>59</v>
      </c>
      <c r="P21" s="347">
        <v>0</v>
      </c>
      <c r="Q21" s="347">
        <v>0</v>
      </c>
      <c r="R21" s="347">
        <v>0</v>
      </c>
      <c r="S21" s="347">
        <v>0</v>
      </c>
      <c r="T21" s="347">
        <v>2</v>
      </c>
      <c r="U21" s="358">
        <v>140</v>
      </c>
      <c r="V21" s="291">
        <v>1901.3300000000002</v>
      </c>
      <c r="W21" s="358">
        <v>105</v>
      </c>
      <c r="X21" s="291">
        <v>1587.1200000000001</v>
      </c>
      <c r="Y21" s="358">
        <v>35</v>
      </c>
      <c r="Z21" s="291">
        <v>314.20999999999998</v>
      </c>
      <c r="AA21" s="358">
        <v>0</v>
      </c>
      <c r="AB21" s="291">
        <v>0</v>
      </c>
      <c r="AC21" s="358">
        <v>6</v>
      </c>
      <c r="AD21" s="350">
        <v>300.45</v>
      </c>
      <c r="AE21" s="358">
        <v>6</v>
      </c>
      <c r="AF21" s="350">
        <v>300.45</v>
      </c>
      <c r="AG21" s="358">
        <v>0</v>
      </c>
      <c r="AH21" s="350">
        <v>0</v>
      </c>
      <c r="AI21" s="358">
        <v>0</v>
      </c>
      <c r="AJ21" s="350">
        <v>0</v>
      </c>
      <c r="AK21" s="358">
        <v>0</v>
      </c>
      <c r="AL21" s="350">
        <v>0</v>
      </c>
      <c r="AM21" s="358" t="s">
        <v>273</v>
      </c>
      <c r="AN21" s="358">
        <v>171</v>
      </c>
      <c r="AO21" s="291">
        <v>2380.9300000000003</v>
      </c>
      <c r="AP21" s="358">
        <v>130</v>
      </c>
      <c r="AQ21" s="291">
        <v>1985.4700000000003</v>
      </c>
      <c r="AR21" s="358">
        <v>41</v>
      </c>
      <c r="AS21" s="291">
        <v>395.46</v>
      </c>
      <c r="AT21" s="358">
        <v>0</v>
      </c>
      <c r="AU21" s="358">
        <v>0</v>
      </c>
      <c r="AV21" s="358">
        <v>9</v>
      </c>
      <c r="AW21" s="350">
        <v>472.45</v>
      </c>
      <c r="AX21" s="358">
        <v>8</v>
      </c>
      <c r="AY21" s="350">
        <v>413.45</v>
      </c>
      <c r="AZ21" s="358">
        <v>1</v>
      </c>
      <c r="BA21" s="350">
        <v>59</v>
      </c>
      <c r="BB21" s="358">
        <v>0</v>
      </c>
      <c r="BC21" s="350">
        <v>0</v>
      </c>
      <c r="BD21" s="358">
        <v>0</v>
      </c>
      <c r="BE21" s="350">
        <v>0</v>
      </c>
      <c r="BF21" s="358">
        <v>2</v>
      </c>
      <c r="BG21" s="351"/>
      <c r="BH21" s="351"/>
      <c r="BI21" s="352"/>
      <c r="BJ21" s="352"/>
      <c r="CM21" s="353"/>
      <c r="CN21" s="353"/>
    </row>
    <row r="22" spans="1:92" ht="27.75" customHeight="1" x14ac:dyDescent="0.3">
      <c r="A22" s="288" t="str">
        <f>[1]Лист1!A23</f>
        <v>Колыванский</v>
      </c>
      <c r="B22" s="347">
        <v>108</v>
      </c>
      <c r="C22" s="348">
        <v>2354.5750000000012</v>
      </c>
      <c r="D22" s="347">
        <v>99</v>
      </c>
      <c r="E22" s="348">
        <v>2129.2000000000012</v>
      </c>
      <c r="F22" s="347">
        <v>9</v>
      </c>
      <c r="G22" s="348">
        <v>225.375</v>
      </c>
      <c r="H22" s="347">
        <v>0</v>
      </c>
      <c r="I22" s="347">
        <v>0</v>
      </c>
      <c r="J22" s="347">
        <v>7</v>
      </c>
      <c r="K22" s="349">
        <v>460</v>
      </c>
      <c r="L22" s="347">
        <v>6</v>
      </c>
      <c r="M22" s="349">
        <v>410</v>
      </c>
      <c r="N22" s="347">
        <v>1</v>
      </c>
      <c r="O22" s="349">
        <v>50</v>
      </c>
      <c r="P22" s="347">
        <v>0</v>
      </c>
      <c r="Q22" s="347">
        <v>0</v>
      </c>
      <c r="R22" s="347">
        <v>0</v>
      </c>
      <c r="S22" s="347">
        <v>0</v>
      </c>
      <c r="T22" s="347" t="s">
        <v>273</v>
      </c>
      <c r="U22" s="358">
        <v>177</v>
      </c>
      <c r="V22" s="291">
        <v>2706.3179999999998</v>
      </c>
      <c r="W22" s="358">
        <v>117</v>
      </c>
      <c r="X22" s="291">
        <v>1861.1199999999994</v>
      </c>
      <c r="Y22" s="358">
        <v>60</v>
      </c>
      <c r="Z22" s="291">
        <v>845.19800000000009</v>
      </c>
      <c r="AA22" s="358">
        <v>0</v>
      </c>
      <c r="AB22" s="291">
        <v>0</v>
      </c>
      <c r="AC22" s="358">
        <v>15</v>
      </c>
      <c r="AD22" s="350">
        <v>572.4</v>
      </c>
      <c r="AE22" s="358">
        <v>13</v>
      </c>
      <c r="AF22" s="350">
        <v>465.4</v>
      </c>
      <c r="AG22" s="358">
        <v>2</v>
      </c>
      <c r="AH22" s="350">
        <v>107</v>
      </c>
      <c r="AI22" s="358">
        <v>0</v>
      </c>
      <c r="AJ22" s="350">
        <v>0</v>
      </c>
      <c r="AK22" s="358">
        <v>0</v>
      </c>
      <c r="AL22" s="350">
        <v>0</v>
      </c>
      <c r="AM22" s="358" t="s">
        <v>273</v>
      </c>
      <c r="AN22" s="358">
        <v>285</v>
      </c>
      <c r="AO22" s="291">
        <v>5060.8930000000009</v>
      </c>
      <c r="AP22" s="358">
        <v>216</v>
      </c>
      <c r="AQ22" s="291">
        <v>3990.3200000000006</v>
      </c>
      <c r="AR22" s="358">
        <v>69</v>
      </c>
      <c r="AS22" s="291">
        <v>1070.5730000000001</v>
      </c>
      <c r="AT22" s="358">
        <v>0</v>
      </c>
      <c r="AU22" s="358">
        <v>0</v>
      </c>
      <c r="AV22" s="358">
        <v>22</v>
      </c>
      <c r="AW22" s="350">
        <v>1032.4000000000001</v>
      </c>
      <c r="AX22" s="358">
        <v>19</v>
      </c>
      <c r="AY22" s="350">
        <v>875.4</v>
      </c>
      <c r="AZ22" s="358">
        <v>3</v>
      </c>
      <c r="BA22" s="350">
        <v>157</v>
      </c>
      <c r="BB22" s="358">
        <v>0</v>
      </c>
      <c r="BC22" s="350">
        <v>0</v>
      </c>
      <c r="BD22" s="358">
        <v>0</v>
      </c>
      <c r="BE22" s="350">
        <v>0</v>
      </c>
      <c r="BF22" s="358" t="s">
        <v>273</v>
      </c>
      <c r="BG22" s="351"/>
      <c r="BH22" s="351"/>
      <c r="BI22" s="352"/>
      <c r="BJ22" s="352"/>
      <c r="CM22" s="353"/>
      <c r="CN22" s="353"/>
    </row>
    <row r="23" spans="1:92" ht="27.75" customHeight="1" x14ac:dyDescent="0.3">
      <c r="A23" s="288" t="str">
        <f>[1]Лист1!A24</f>
        <v>Коченевский</v>
      </c>
      <c r="B23" s="347">
        <v>20</v>
      </c>
      <c r="C23" s="348">
        <v>381.09999999999997</v>
      </c>
      <c r="D23" s="347">
        <v>20</v>
      </c>
      <c r="E23" s="348">
        <v>381.09999999999997</v>
      </c>
      <c r="F23" s="347">
        <v>0</v>
      </c>
      <c r="G23" s="348">
        <v>0</v>
      </c>
      <c r="H23" s="347">
        <v>0</v>
      </c>
      <c r="I23" s="347">
        <v>0</v>
      </c>
      <c r="J23" s="347">
        <v>1</v>
      </c>
      <c r="K23" s="349">
        <v>51</v>
      </c>
      <c r="L23" s="347">
        <v>1</v>
      </c>
      <c r="M23" s="349">
        <v>51</v>
      </c>
      <c r="N23" s="347">
        <v>0</v>
      </c>
      <c r="O23" s="349">
        <v>0</v>
      </c>
      <c r="P23" s="347">
        <v>0</v>
      </c>
      <c r="Q23" s="347">
        <v>0</v>
      </c>
      <c r="R23" s="347">
        <v>0</v>
      </c>
      <c r="S23" s="347">
        <v>0</v>
      </c>
      <c r="T23" s="347" t="s">
        <v>273</v>
      </c>
      <c r="U23" s="358">
        <v>171</v>
      </c>
      <c r="V23" s="291">
        <v>2540.6939999999995</v>
      </c>
      <c r="W23" s="358">
        <v>93</v>
      </c>
      <c r="X23" s="291">
        <v>1549.1499999999996</v>
      </c>
      <c r="Y23" s="358">
        <v>78</v>
      </c>
      <c r="Z23" s="291">
        <v>991.5440000000001</v>
      </c>
      <c r="AA23" s="358">
        <v>0</v>
      </c>
      <c r="AB23" s="291">
        <v>0</v>
      </c>
      <c r="AC23" s="358">
        <v>11</v>
      </c>
      <c r="AD23" s="350">
        <v>537.42000000000007</v>
      </c>
      <c r="AE23" s="358">
        <v>5</v>
      </c>
      <c r="AF23" s="350">
        <v>187</v>
      </c>
      <c r="AG23" s="358">
        <v>6</v>
      </c>
      <c r="AH23" s="350">
        <v>350.42</v>
      </c>
      <c r="AI23" s="358">
        <v>0</v>
      </c>
      <c r="AJ23" s="350">
        <v>0</v>
      </c>
      <c r="AK23" s="358">
        <v>0</v>
      </c>
      <c r="AL23" s="350">
        <v>0</v>
      </c>
      <c r="AM23" s="358">
        <v>2</v>
      </c>
      <c r="AN23" s="358">
        <v>191</v>
      </c>
      <c r="AO23" s="291">
        <v>2921.7939999999994</v>
      </c>
      <c r="AP23" s="358">
        <v>113</v>
      </c>
      <c r="AQ23" s="291">
        <v>1930.2499999999995</v>
      </c>
      <c r="AR23" s="358">
        <v>78</v>
      </c>
      <c r="AS23" s="291">
        <v>991.5440000000001</v>
      </c>
      <c r="AT23" s="358">
        <v>0</v>
      </c>
      <c r="AU23" s="358">
        <v>0</v>
      </c>
      <c r="AV23" s="358">
        <v>12</v>
      </c>
      <c r="AW23" s="350">
        <v>588.42000000000007</v>
      </c>
      <c r="AX23" s="358">
        <v>6</v>
      </c>
      <c r="AY23" s="350">
        <v>238</v>
      </c>
      <c r="AZ23" s="358">
        <v>6</v>
      </c>
      <c r="BA23" s="350">
        <v>350.42</v>
      </c>
      <c r="BB23" s="358">
        <v>0</v>
      </c>
      <c r="BC23" s="350">
        <v>0</v>
      </c>
      <c r="BD23" s="358">
        <v>0</v>
      </c>
      <c r="BE23" s="350">
        <v>0</v>
      </c>
      <c r="BF23" s="358">
        <v>2</v>
      </c>
      <c r="BG23" s="351"/>
      <c r="BH23" s="351"/>
      <c r="BI23" s="352"/>
      <c r="BJ23" s="352"/>
      <c r="CM23" s="353"/>
      <c r="CN23" s="353"/>
    </row>
    <row r="24" spans="1:92" ht="27.75" customHeight="1" x14ac:dyDescent="0.3">
      <c r="A24" s="288" t="str">
        <f>[1]Лист1!A25</f>
        <v>Кочковский</v>
      </c>
      <c r="B24" s="347">
        <v>84</v>
      </c>
      <c r="C24" s="348">
        <v>1395.64</v>
      </c>
      <c r="D24" s="347">
        <v>81</v>
      </c>
      <c r="E24" s="348">
        <v>1356.44</v>
      </c>
      <c r="F24" s="347">
        <v>3</v>
      </c>
      <c r="G24" s="348">
        <v>39.200000000000003</v>
      </c>
      <c r="H24" s="347">
        <v>0</v>
      </c>
      <c r="I24" s="347">
        <v>0</v>
      </c>
      <c r="J24" s="347">
        <v>2</v>
      </c>
      <c r="K24" s="349">
        <v>88</v>
      </c>
      <c r="L24" s="347">
        <v>1</v>
      </c>
      <c r="M24" s="349">
        <v>70</v>
      </c>
      <c r="N24" s="347">
        <v>1</v>
      </c>
      <c r="O24" s="349">
        <v>18</v>
      </c>
      <c r="P24" s="347">
        <v>0</v>
      </c>
      <c r="Q24" s="347">
        <v>0</v>
      </c>
      <c r="R24" s="347">
        <v>0</v>
      </c>
      <c r="S24" s="347">
        <v>0</v>
      </c>
      <c r="T24" s="347" t="s">
        <v>273</v>
      </c>
      <c r="U24" s="358">
        <v>89</v>
      </c>
      <c r="V24" s="291">
        <v>1411.2399999999998</v>
      </c>
      <c r="W24" s="358">
        <v>78</v>
      </c>
      <c r="X24" s="291">
        <v>1274.8399999999999</v>
      </c>
      <c r="Y24" s="358">
        <v>11</v>
      </c>
      <c r="Z24" s="291">
        <v>136.4</v>
      </c>
      <c r="AA24" s="358">
        <v>0</v>
      </c>
      <c r="AB24" s="291">
        <v>0</v>
      </c>
      <c r="AC24" s="358">
        <v>5</v>
      </c>
      <c r="AD24" s="350">
        <v>258</v>
      </c>
      <c r="AE24" s="358">
        <v>4</v>
      </c>
      <c r="AF24" s="350">
        <v>243</v>
      </c>
      <c r="AG24" s="358">
        <v>1</v>
      </c>
      <c r="AH24" s="350">
        <v>15</v>
      </c>
      <c r="AI24" s="358">
        <v>0</v>
      </c>
      <c r="AJ24" s="350">
        <v>0</v>
      </c>
      <c r="AK24" s="358">
        <v>0</v>
      </c>
      <c r="AL24" s="350">
        <v>0</v>
      </c>
      <c r="AM24" s="358" t="s">
        <v>273</v>
      </c>
      <c r="AN24" s="358">
        <v>173</v>
      </c>
      <c r="AO24" s="291">
        <v>2806.88</v>
      </c>
      <c r="AP24" s="358">
        <v>159</v>
      </c>
      <c r="AQ24" s="291">
        <v>2631.2799999999997</v>
      </c>
      <c r="AR24" s="358">
        <v>14</v>
      </c>
      <c r="AS24" s="291">
        <v>175.60000000000002</v>
      </c>
      <c r="AT24" s="358">
        <v>0</v>
      </c>
      <c r="AU24" s="358">
        <v>0</v>
      </c>
      <c r="AV24" s="358">
        <v>7</v>
      </c>
      <c r="AW24" s="350">
        <v>346</v>
      </c>
      <c r="AX24" s="358">
        <v>5</v>
      </c>
      <c r="AY24" s="350">
        <v>313</v>
      </c>
      <c r="AZ24" s="358">
        <v>2</v>
      </c>
      <c r="BA24" s="350">
        <v>33</v>
      </c>
      <c r="BB24" s="358">
        <v>0</v>
      </c>
      <c r="BC24" s="350">
        <v>0</v>
      </c>
      <c r="BD24" s="358">
        <v>0</v>
      </c>
      <c r="BE24" s="350">
        <v>0</v>
      </c>
      <c r="BF24" s="358" t="s">
        <v>273</v>
      </c>
      <c r="BG24" s="351"/>
      <c r="BH24" s="351"/>
      <c r="BI24" s="352"/>
      <c r="BJ24" s="352"/>
      <c r="CM24" s="353"/>
      <c r="CN24" s="353"/>
    </row>
    <row r="25" spans="1:92" ht="27.75" customHeight="1" x14ac:dyDescent="0.3">
      <c r="A25" s="288" t="str">
        <f>[1]Лист1!A26</f>
        <v>Краснозерский</v>
      </c>
      <c r="B25" s="347">
        <v>83</v>
      </c>
      <c r="C25" s="348">
        <v>1255.3899999999999</v>
      </c>
      <c r="D25" s="347">
        <v>83</v>
      </c>
      <c r="E25" s="348">
        <v>1255.3899999999999</v>
      </c>
      <c r="F25" s="347">
        <v>0</v>
      </c>
      <c r="G25" s="348">
        <v>0</v>
      </c>
      <c r="H25" s="347">
        <v>0</v>
      </c>
      <c r="I25" s="347">
        <v>0</v>
      </c>
      <c r="J25" s="347">
        <v>1</v>
      </c>
      <c r="K25" s="349">
        <v>95</v>
      </c>
      <c r="L25" s="347">
        <v>1</v>
      </c>
      <c r="M25" s="349">
        <v>95</v>
      </c>
      <c r="N25" s="347">
        <v>0</v>
      </c>
      <c r="O25" s="349">
        <v>0</v>
      </c>
      <c r="P25" s="347">
        <v>0</v>
      </c>
      <c r="Q25" s="347">
        <v>0</v>
      </c>
      <c r="R25" s="347">
        <v>0</v>
      </c>
      <c r="S25" s="347">
        <v>0</v>
      </c>
      <c r="T25" s="347">
        <v>1</v>
      </c>
      <c r="U25" s="358">
        <v>154</v>
      </c>
      <c r="V25" s="291">
        <v>2495.2149999999992</v>
      </c>
      <c r="W25" s="358">
        <v>131</v>
      </c>
      <c r="X25" s="291">
        <v>2139.1899999999996</v>
      </c>
      <c r="Y25" s="358">
        <v>23</v>
      </c>
      <c r="Z25" s="291">
        <v>356.02499999999998</v>
      </c>
      <c r="AA25" s="358">
        <v>0</v>
      </c>
      <c r="AB25" s="291">
        <v>0</v>
      </c>
      <c r="AC25" s="358">
        <v>5</v>
      </c>
      <c r="AD25" s="350">
        <v>239.2</v>
      </c>
      <c r="AE25" s="358">
        <v>3</v>
      </c>
      <c r="AF25" s="350">
        <v>214.2</v>
      </c>
      <c r="AG25" s="358">
        <v>2</v>
      </c>
      <c r="AH25" s="350">
        <v>25</v>
      </c>
      <c r="AI25" s="358">
        <v>0</v>
      </c>
      <c r="AJ25" s="350">
        <v>0</v>
      </c>
      <c r="AK25" s="358">
        <v>0</v>
      </c>
      <c r="AL25" s="350">
        <v>0</v>
      </c>
      <c r="AM25" s="358">
        <v>4</v>
      </c>
      <c r="AN25" s="358">
        <v>237</v>
      </c>
      <c r="AO25" s="291">
        <v>3750.6049999999991</v>
      </c>
      <c r="AP25" s="358">
        <v>214</v>
      </c>
      <c r="AQ25" s="291">
        <v>3394.5799999999995</v>
      </c>
      <c r="AR25" s="358">
        <v>23</v>
      </c>
      <c r="AS25" s="291">
        <v>356.02499999999998</v>
      </c>
      <c r="AT25" s="358">
        <v>0</v>
      </c>
      <c r="AU25" s="358">
        <v>0</v>
      </c>
      <c r="AV25" s="358">
        <v>6</v>
      </c>
      <c r="AW25" s="350">
        <v>334.2</v>
      </c>
      <c r="AX25" s="358">
        <v>4</v>
      </c>
      <c r="AY25" s="350">
        <v>309.2</v>
      </c>
      <c r="AZ25" s="358">
        <v>2</v>
      </c>
      <c r="BA25" s="350">
        <v>25</v>
      </c>
      <c r="BB25" s="358">
        <v>0</v>
      </c>
      <c r="BC25" s="350">
        <v>0</v>
      </c>
      <c r="BD25" s="358">
        <v>0</v>
      </c>
      <c r="BE25" s="350">
        <v>0</v>
      </c>
      <c r="BF25" s="358">
        <v>5</v>
      </c>
      <c r="BG25" s="351"/>
      <c r="BH25" s="351"/>
      <c r="BI25" s="352"/>
      <c r="BJ25" s="352"/>
      <c r="CM25" s="353"/>
      <c r="CN25" s="353"/>
    </row>
    <row r="26" spans="1:92" ht="27.75" customHeight="1" x14ac:dyDescent="0.3">
      <c r="A26" s="288" t="str">
        <f>[1]Лист1!A27</f>
        <v>Куйбышевский</v>
      </c>
      <c r="B26" s="347">
        <v>82</v>
      </c>
      <c r="C26" s="348">
        <v>1301.9100000000003</v>
      </c>
      <c r="D26" s="347">
        <v>81</v>
      </c>
      <c r="E26" s="348">
        <v>1262.0000000000002</v>
      </c>
      <c r="F26" s="347">
        <v>1</v>
      </c>
      <c r="G26" s="348">
        <v>39.909999999999997</v>
      </c>
      <c r="H26" s="347">
        <v>0</v>
      </c>
      <c r="I26" s="347">
        <v>0</v>
      </c>
      <c r="J26" s="347">
        <v>2</v>
      </c>
      <c r="K26" s="349">
        <v>79</v>
      </c>
      <c r="L26" s="347">
        <v>2</v>
      </c>
      <c r="M26" s="349">
        <v>79</v>
      </c>
      <c r="N26" s="347">
        <v>0</v>
      </c>
      <c r="O26" s="349">
        <v>0</v>
      </c>
      <c r="P26" s="347">
        <v>0</v>
      </c>
      <c r="Q26" s="347">
        <v>0</v>
      </c>
      <c r="R26" s="347">
        <v>0</v>
      </c>
      <c r="S26" s="347">
        <v>0</v>
      </c>
      <c r="T26" s="347" t="s">
        <v>273</v>
      </c>
      <c r="U26" s="358">
        <v>256</v>
      </c>
      <c r="V26" s="291">
        <v>3816.5900000000011</v>
      </c>
      <c r="W26" s="358">
        <v>225</v>
      </c>
      <c r="X26" s="291">
        <v>3364.690000000001</v>
      </c>
      <c r="Y26" s="358">
        <v>31</v>
      </c>
      <c r="Z26" s="291">
        <v>451.9</v>
      </c>
      <c r="AA26" s="358">
        <v>0</v>
      </c>
      <c r="AB26" s="291">
        <v>0</v>
      </c>
      <c r="AC26" s="358">
        <v>9</v>
      </c>
      <c r="AD26" s="350">
        <v>385</v>
      </c>
      <c r="AE26" s="358">
        <v>8</v>
      </c>
      <c r="AF26" s="350">
        <v>373</v>
      </c>
      <c r="AG26" s="358">
        <v>1</v>
      </c>
      <c r="AH26" s="350">
        <v>12</v>
      </c>
      <c r="AI26" s="358">
        <v>0</v>
      </c>
      <c r="AJ26" s="350">
        <v>0</v>
      </c>
      <c r="AK26" s="358">
        <v>0</v>
      </c>
      <c r="AL26" s="350">
        <v>0</v>
      </c>
      <c r="AM26" s="358" t="s">
        <v>273</v>
      </c>
      <c r="AN26" s="358">
        <v>338</v>
      </c>
      <c r="AO26" s="291">
        <v>5118.5000000000018</v>
      </c>
      <c r="AP26" s="358">
        <v>306</v>
      </c>
      <c r="AQ26" s="291">
        <v>4626.6900000000014</v>
      </c>
      <c r="AR26" s="358">
        <v>32</v>
      </c>
      <c r="AS26" s="291">
        <v>491.80999999999995</v>
      </c>
      <c r="AT26" s="358">
        <v>0</v>
      </c>
      <c r="AU26" s="358">
        <v>0</v>
      </c>
      <c r="AV26" s="358">
        <v>11</v>
      </c>
      <c r="AW26" s="350">
        <v>464</v>
      </c>
      <c r="AX26" s="358">
        <v>10</v>
      </c>
      <c r="AY26" s="350">
        <v>452</v>
      </c>
      <c r="AZ26" s="358">
        <v>1</v>
      </c>
      <c r="BA26" s="350">
        <v>12</v>
      </c>
      <c r="BB26" s="358">
        <v>0</v>
      </c>
      <c r="BC26" s="350">
        <v>0</v>
      </c>
      <c r="BD26" s="358">
        <v>0</v>
      </c>
      <c r="BE26" s="350">
        <v>0</v>
      </c>
      <c r="BF26" s="358" t="s">
        <v>273</v>
      </c>
      <c r="BG26" s="351"/>
      <c r="BH26" s="351"/>
      <c r="BI26" s="352"/>
      <c r="BJ26" s="352"/>
      <c r="CM26" s="353"/>
      <c r="CN26" s="353"/>
    </row>
    <row r="27" spans="1:92" ht="27.75" customHeight="1" x14ac:dyDescent="0.3">
      <c r="A27" s="288" t="str">
        <f>[1]Лист1!A28</f>
        <v>Купинский</v>
      </c>
      <c r="B27" s="347">
        <v>47</v>
      </c>
      <c r="C27" s="348">
        <v>770.45999999999992</v>
      </c>
      <c r="D27" s="347">
        <v>47</v>
      </c>
      <c r="E27" s="348">
        <v>770.45999999999992</v>
      </c>
      <c r="F27" s="347">
        <v>0</v>
      </c>
      <c r="G27" s="348">
        <v>0</v>
      </c>
      <c r="H27" s="347">
        <v>0</v>
      </c>
      <c r="I27" s="347">
        <v>0</v>
      </c>
      <c r="J27" s="347">
        <v>0</v>
      </c>
      <c r="K27" s="349">
        <v>0</v>
      </c>
      <c r="L27" s="347">
        <v>0</v>
      </c>
      <c r="M27" s="349">
        <v>0</v>
      </c>
      <c r="N27" s="347">
        <v>0</v>
      </c>
      <c r="O27" s="349">
        <v>0</v>
      </c>
      <c r="P27" s="347">
        <v>0</v>
      </c>
      <c r="Q27" s="347">
        <v>0</v>
      </c>
      <c r="R27" s="347">
        <v>0</v>
      </c>
      <c r="S27" s="347">
        <v>0</v>
      </c>
      <c r="T27" s="347">
        <v>1</v>
      </c>
      <c r="U27" s="358">
        <v>221</v>
      </c>
      <c r="V27" s="291">
        <v>3435.9149999999995</v>
      </c>
      <c r="W27" s="358">
        <v>200</v>
      </c>
      <c r="X27" s="291">
        <v>3108.7749999999996</v>
      </c>
      <c r="Y27" s="358">
        <v>21</v>
      </c>
      <c r="Z27" s="291">
        <v>327.14</v>
      </c>
      <c r="AA27" s="358">
        <v>0</v>
      </c>
      <c r="AB27" s="291">
        <v>0</v>
      </c>
      <c r="AC27" s="358">
        <v>2</v>
      </c>
      <c r="AD27" s="350">
        <v>258.3</v>
      </c>
      <c r="AE27" s="358">
        <v>0</v>
      </c>
      <c r="AF27" s="350">
        <v>0</v>
      </c>
      <c r="AG27" s="358">
        <v>2</v>
      </c>
      <c r="AH27" s="350">
        <v>258.3</v>
      </c>
      <c r="AI27" s="358">
        <v>0</v>
      </c>
      <c r="AJ27" s="350">
        <v>0</v>
      </c>
      <c r="AK27" s="358">
        <v>0</v>
      </c>
      <c r="AL27" s="350">
        <v>0</v>
      </c>
      <c r="AM27" s="358">
        <v>1</v>
      </c>
      <c r="AN27" s="358">
        <v>268</v>
      </c>
      <c r="AO27" s="291">
        <v>4206.3749999999991</v>
      </c>
      <c r="AP27" s="358">
        <v>247</v>
      </c>
      <c r="AQ27" s="291">
        <v>3879.2349999999997</v>
      </c>
      <c r="AR27" s="358">
        <v>21</v>
      </c>
      <c r="AS27" s="291">
        <v>327.14</v>
      </c>
      <c r="AT27" s="358">
        <v>0</v>
      </c>
      <c r="AU27" s="358">
        <v>0</v>
      </c>
      <c r="AV27" s="358">
        <v>2</v>
      </c>
      <c r="AW27" s="350">
        <v>258.3</v>
      </c>
      <c r="AX27" s="358">
        <v>0</v>
      </c>
      <c r="AY27" s="350">
        <v>0</v>
      </c>
      <c r="AZ27" s="358">
        <v>2</v>
      </c>
      <c r="BA27" s="350">
        <v>258.3</v>
      </c>
      <c r="BB27" s="358">
        <v>0</v>
      </c>
      <c r="BC27" s="350">
        <v>0</v>
      </c>
      <c r="BD27" s="350">
        <v>0</v>
      </c>
      <c r="BE27" s="350">
        <v>0</v>
      </c>
      <c r="BF27" s="358">
        <v>2</v>
      </c>
      <c r="BG27" s="351"/>
      <c r="BH27" s="351"/>
      <c r="BI27" s="352"/>
      <c r="BJ27" s="352"/>
      <c r="CM27" s="353"/>
      <c r="CN27" s="353"/>
    </row>
    <row r="28" spans="1:92" ht="27.75" customHeight="1" x14ac:dyDescent="0.3">
      <c r="A28" s="288" t="str">
        <f>[1]Лист1!A29</f>
        <v>Кыштовский</v>
      </c>
      <c r="B28" s="347">
        <v>28</v>
      </c>
      <c r="C28" s="348">
        <v>516.54999999999995</v>
      </c>
      <c r="D28" s="347">
        <v>28</v>
      </c>
      <c r="E28" s="348">
        <v>516.54999999999995</v>
      </c>
      <c r="F28" s="347">
        <v>0</v>
      </c>
      <c r="G28" s="348">
        <v>0</v>
      </c>
      <c r="H28" s="347">
        <v>0</v>
      </c>
      <c r="I28" s="347">
        <v>0</v>
      </c>
      <c r="J28" s="347">
        <v>1</v>
      </c>
      <c r="K28" s="349">
        <v>138</v>
      </c>
      <c r="L28" s="347">
        <v>0</v>
      </c>
      <c r="M28" s="349">
        <v>0</v>
      </c>
      <c r="N28" s="347">
        <v>1</v>
      </c>
      <c r="O28" s="349">
        <v>138</v>
      </c>
      <c r="P28" s="347">
        <v>0</v>
      </c>
      <c r="Q28" s="347">
        <v>0</v>
      </c>
      <c r="R28" s="347">
        <v>0</v>
      </c>
      <c r="S28" s="347">
        <v>0</v>
      </c>
      <c r="T28" s="347">
        <v>0</v>
      </c>
      <c r="U28" s="358">
        <v>273</v>
      </c>
      <c r="V28" s="291">
        <v>3720.0550000000003</v>
      </c>
      <c r="W28" s="358">
        <v>195</v>
      </c>
      <c r="X28" s="291">
        <v>2952.82</v>
      </c>
      <c r="Y28" s="358">
        <v>78</v>
      </c>
      <c r="Z28" s="291">
        <v>767.23500000000001</v>
      </c>
      <c r="AA28" s="358">
        <v>0</v>
      </c>
      <c r="AB28" s="291">
        <v>0</v>
      </c>
      <c r="AC28" s="358">
        <v>11</v>
      </c>
      <c r="AD28" s="350">
        <v>494</v>
      </c>
      <c r="AE28" s="358">
        <v>7</v>
      </c>
      <c r="AF28" s="350">
        <v>301</v>
      </c>
      <c r="AG28" s="358">
        <v>4</v>
      </c>
      <c r="AH28" s="350">
        <v>193</v>
      </c>
      <c r="AI28" s="358">
        <v>0</v>
      </c>
      <c r="AJ28" s="350">
        <v>0</v>
      </c>
      <c r="AK28" s="358">
        <v>0</v>
      </c>
      <c r="AL28" s="350">
        <v>0</v>
      </c>
      <c r="AM28" s="358" t="s">
        <v>273</v>
      </c>
      <c r="AN28" s="358">
        <v>301</v>
      </c>
      <c r="AO28" s="291">
        <v>4236.6050000000005</v>
      </c>
      <c r="AP28" s="358">
        <v>223</v>
      </c>
      <c r="AQ28" s="291">
        <v>3469.37</v>
      </c>
      <c r="AR28" s="358">
        <v>78</v>
      </c>
      <c r="AS28" s="291">
        <v>767.23500000000001</v>
      </c>
      <c r="AT28" s="358">
        <v>0</v>
      </c>
      <c r="AU28" s="358">
        <v>0</v>
      </c>
      <c r="AV28" s="358">
        <v>12</v>
      </c>
      <c r="AW28" s="350">
        <v>632</v>
      </c>
      <c r="AX28" s="358">
        <v>7</v>
      </c>
      <c r="AY28" s="350">
        <v>301</v>
      </c>
      <c r="AZ28" s="358">
        <v>5</v>
      </c>
      <c r="BA28" s="350">
        <v>331</v>
      </c>
      <c r="BB28" s="358">
        <v>0</v>
      </c>
      <c r="BC28" s="350">
        <v>0</v>
      </c>
      <c r="BD28" s="358">
        <v>0</v>
      </c>
      <c r="BE28" s="350">
        <v>0</v>
      </c>
      <c r="BF28" s="358" t="s">
        <v>273</v>
      </c>
      <c r="BG28" s="351"/>
      <c r="BH28" s="351"/>
      <c r="BI28" s="352"/>
      <c r="BJ28" s="352"/>
      <c r="CM28" s="353"/>
      <c r="CN28" s="353"/>
    </row>
    <row r="29" spans="1:92" ht="27.75" customHeight="1" x14ac:dyDescent="0.3">
      <c r="A29" s="288" t="s">
        <v>242</v>
      </c>
      <c r="B29" s="347">
        <v>89</v>
      </c>
      <c r="C29" s="348">
        <v>1745.1299999999997</v>
      </c>
      <c r="D29" s="347">
        <v>83</v>
      </c>
      <c r="E29" s="348">
        <v>1572.35</v>
      </c>
      <c r="F29" s="347">
        <v>6</v>
      </c>
      <c r="G29" s="348">
        <v>172.78</v>
      </c>
      <c r="H29" s="347">
        <v>0</v>
      </c>
      <c r="I29" s="347">
        <v>0</v>
      </c>
      <c r="J29" s="347">
        <v>4</v>
      </c>
      <c r="K29" s="349">
        <v>257.14999999999998</v>
      </c>
      <c r="L29" s="347">
        <v>2</v>
      </c>
      <c r="M29" s="349">
        <v>101.15</v>
      </c>
      <c r="N29" s="347">
        <v>2</v>
      </c>
      <c r="O29" s="349">
        <v>156</v>
      </c>
      <c r="P29" s="347">
        <v>0</v>
      </c>
      <c r="Q29" s="347">
        <v>0</v>
      </c>
      <c r="R29" s="347">
        <v>0</v>
      </c>
      <c r="S29" s="347">
        <v>0</v>
      </c>
      <c r="T29" s="347" t="s">
        <v>4</v>
      </c>
      <c r="U29" s="358">
        <v>156</v>
      </c>
      <c r="V29" s="291">
        <v>2871</v>
      </c>
      <c r="W29" s="358">
        <v>133</v>
      </c>
      <c r="X29" s="291">
        <v>2323.33</v>
      </c>
      <c r="Y29" s="358">
        <v>23</v>
      </c>
      <c r="Z29" s="291">
        <v>547.67000000000007</v>
      </c>
      <c r="AA29" s="358">
        <v>0</v>
      </c>
      <c r="AB29" s="291">
        <v>0</v>
      </c>
      <c r="AC29" s="358">
        <v>3</v>
      </c>
      <c r="AD29" s="350">
        <v>51</v>
      </c>
      <c r="AE29" s="358">
        <v>2</v>
      </c>
      <c r="AF29" s="350">
        <v>40</v>
      </c>
      <c r="AG29" s="358">
        <v>1</v>
      </c>
      <c r="AH29" s="350">
        <v>11</v>
      </c>
      <c r="AI29" s="358">
        <v>0</v>
      </c>
      <c r="AJ29" s="350">
        <v>0</v>
      </c>
      <c r="AK29" s="358">
        <v>0</v>
      </c>
      <c r="AL29" s="350">
        <v>0</v>
      </c>
      <c r="AM29" s="358" t="s">
        <v>273</v>
      </c>
      <c r="AN29" s="358">
        <v>245</v>
      </c>
      <c r="AO29" s="291">
        <v>4616.1299999999992</v>
      </c>
      <c r="AP29" s="358">
        <v>216</v>
      </c>
      <c r="AQ29" s="291">
        <v>3895.68</v>
      </c>
      <c r="AR29" s="358">
        <v>29</v>
      </c>
      <c r="AS29" s="291">
        <v>720.45</v>
      </c>
      <c r="AT29" s="358">
        <v>0</v>
      </c>
      <c r="AU29" s="358">
        <v>0</v>
      </c>
      <c r="AV29" s="358">
        <v>7</v>
      </c>
      <c r="AW29" s="350">
        <v>308.14999999999998</v>
      </c>
      <c r="AX29" s="358">
        <v>4</v>
      </c>
      <c r="AY29" s="350">
        <v>141.15</v>
      </c>
      <c r="AZ29" s="358">
        <v>3</v>
      </c>
      <c r="BA29" s="350">
        <v>167</v>
      </c>
      <c r="BB29" s="358">
        <v>0</v>
      </c>
      <c r="BC29" s="350">
        <v>0</v>
      </c>
      <c r="BD29" s="358">
        <v>0</v>
      </c>
      <c r="BE29" s="350">
        <v>0</v>
      </c>
      <c r="BF29" s="358" t="s">
        <v>273</v>
      </c>
      <c r="BG29" s="351"/>
      <c r="BH29" s="351"/>
      <c r="BI29" s="352"/>
      <c r="BJ29" s="352"/>
      <c r="CM29" s="353"/>
      <c r="CN29" s="353"/>
    </row>
    <row r="30" spans="1:92" ht="27.75" customHeight="1" x14ac:dyDescent="0.3">
      <c r="A30" s="288" t="str">
        <f>[1]Лист1!A31</f>
        <v>Мошковский</v>
      </c>
      <c r="B30" s="359"/>
      <c r="C30" s="348"/>
      <c r="D30" s="359"/>
      <c r="E30" s="348"/>
      <c r="F30" s="359"/>
      <c r="G30" s="348"/>
      <c r="H30" s="348"/>
      <c r="I30" s="348"/>
      <c r="J30" s="347"/>
      <c r="K30" s="349"/>
      <c r="L30" s="347"/>
      <c r="M30" s="349"/>
      <c r="N30" s="347"/>
      <c r="O30" s="349"/>
      <c r="P30" s="349"/>
      <c r="Q30" s="349"/>
      <c r="R30" s="349"/>
      <c r="S30" s="349"/>
      <c r="T30" s="358"/>
      <c r="U30" s="358">
        <v>183</v>
      </c>
      <c r="V30" s="291">
        <v>2996.6399999999994</v>
      </c>
      <c r="W30" s="358">
        <v>145</v>
      </c>
      <c r="X30" s="291">
        <v>2408.9799999999996</v>
      </c>
      <c r="Y30" s="358">
        <v>38</v>
      </c>
      <c r="Z30" s="291">
        <v>587.66</v>
      </c>
      <c r="AA30" s="358">
        <v>0</v>
      </c>
      <c r="AB30" s="291">
        <v>0</v>
      </c>
      <c r="AC30" s="358">
        <v>5</v>
      </c>
      <c r="AD30" s="350">
        <v>188</v>
      </c>
      <c r="AE30" s="358">
        <v>5</v>
      </c>
      <c r="AF30" s="350">
        <v>188</v>
      </c>
      <c r="AG30" s="358">
        <v>0</v>
      </c>
      <c r="AH30" s="350">
        <v>0</v>
      </c>
      <c r="AI30" s="358">
        <v>0</v>
      </c>
      <c r="AJ30" s="350">
        <v>0</v>
      </c>
      <c r="AK30" s="358">
        <v>0</v>
      </c>
      <c r="AL30" s="350">
        <v>0</v>
      </c>
      <c r="AM30" s="358">
        <v>4</v>
      </c>
      <c r="AN30" s="358">
        <v>183</v>
      </c>
      <c r="AO30" s="291">
        <v>2996.6399999999994</v>
      </c>
      <c r="AP30" s="358">
        <v>145</v>
      </c>
      <c r="AQ30" s="291">
        <v>2408.9799999999996</v>
      </c>
      <c r="AR30" s="358">
        <v>38</v>
      </c>
      <c r="AS30" s="291">
        <v>587.66</v>
      </c>
      <c r="AT30" s="358">
        <v>0</v>
      </c>
      <c r="AU30" s="358">
        <v>0</v>
      </c>
      <c r="AV30" s="358">
        <v>5</v>
      </c>
      <c r="AW30" s="350">
        <v>188</v>
      </c>
      <c r="AX30" s="358">
        <v>5</v>
      </c>
      <c r="AY30" s="350">
        <v>188</v>
      </c>
      <c r="AZ30" s="358">
        <v>0</v>
      </c>
      <c r="BA30" s="350">
        <v>0</v>
      </c>
      <c r="BB30" s="358">
        <v>0</v>
      </c>
      <c r="BC30" s="350">
        <v>0</v>
      </c>
      <c r="BD30" s="358">
        <v>0</v>
      </c>
      <c r="BE30" s="350">
        <v>0</v>
      </c>
      <c r="BF30" s="358">
        <v>4</v>
      </c>
      <c r="BG30" s="351"/>
      <c r="BH30" s="351"/>
      <c r="BI30" s="352"/>
      <c r="BJ30" s="352"/>
      <c r="CM30" s="353"/>
      <c r="CN30" s="353"/>
    </row>
    <row r="31" spans="1:92" ht="27.75" customHeight="1" x14ac:dyDescent="0.3">
      <c r="A31" s="288" t="str">
        <f>[1]Лист1!A32</f>
        <v>Новосибирский</v>
      </c>
      <c r="B31" s="347">
        <f>Лист2Новосибирский!B20</f>
        <v>70</v>
      </c>
      <c r="C31" s="348">
        <f>Лист2Новосибирский!C20</f>
        <v>1421.78</v>
      </c>
      <c r="D31" s="347">
        <f>Лист2Новосибирский!D20</f>
        <v>59</v>
      </c>
      <c r="E31" s="348">
        <f>Лист2Новосибирский!E20</f>
        <v>1131.6899999999998</v>
      </c>
      <c r="F31" s="347">
        <f>Лист2Новосибирский!F20</f>
        <v>11</v>
      </c>
      <c r="G31" s="348">
        <f>Лист2Новосибирский!G20</f>
        <v>290.08999999999997</v>
      </c>
      <c r="H31" s="347">
        <f>Лист2Новосибирский!H20</f>
        <v>0</v>
      </c>
      <c r="I31" s="347">
        <f>Лист2Новосибирский!I20</f>
        <v>0</v>
      </c>
      <c r="J31" s="347">
        <f>Лист2Новосибирский!J20</f>
        <v>10</v>
      </c>
      <c r="K31" s="349">
        <f>Лист2Новосибирский!K20</f>
        <v>697.25</v>
      </c>
      <c r="L31" s="347">
        <f>Лист2Новосибирский!L20</f>
        <v>8</v>
      </c>
      <c r="M31" s="349">
        <f>Лист2Новосибирский!M20</f>
        <v>478.74</v>
      </c>
      <c r="N31" s="347">
        <f>Лист2Новосибирский!N20</f>
        <v>2</v>
      </c>
      <c r="O31" s="349">
        <f>Лист2Новосибирский!O20</f>
        <v>218.51000000000002</v>
      </c>
      <c r="P31" s="347">
        <f>Лист2Новосибирский!P20</f>
        <v>0</v>
      </c>
      <c r="Q31" s="347">
        <f>Лист2Новосибирский!Q20</f>
        <v>0</v>
      </c>
      <c r="R31" s="347">
        <f>Лист2Новосибирский!R20</f>
        <v>0</v>
      </c>
      <c r="S31" s="347">
        <f>Лист2Новосибирский!S20</f>
        <v>0</v>
      </c>
      <c r="T31" s="347">
        <f>Лист2Новосибирский!T20</f>
        <v>0</v>
      </c>
      <c r="U31" s="358">
        <f>Лист2Новосибирский!B67</f>
        <v>219</v>
      </c>
      <c r="V31" s="291">
        <f>Лист2Новосибирский!C67</f>
        <v>4246.3200000000015</v>
      </c>
      <c r="W31" s="358">
        <f>Лист2Новосибирский!D67</f>
        <v>173</v>
      </c>
      <c r="X31" s="291">
        <f>Лист2Новосибирский!E67</f>
        <v>3150.5500000000006</v>
      </c>
      <c r="Y31" s="358">
        <f>Лист2Новосибирский!F67</f>
        <v>46</v>
      </c>
      <c r="Z31" s="291">
        <f>Лист2Новосибирский!G67</f>
        <v>1095.77</v>
      </c>
      <c r="AA31" s="358">
        <f>Лист2Новосибирский!H67</f>
        <v>0</v>
      </c>
      <c r="AB31" s="291">
        <f>Лист2Новосибирский!I67</f>
        <v>0</v>
      </c>
      <c r="AC31" s="358">
        <f>Лист2Новосибирский!J67</f>
        <v>8</v>
      </c>
      <c r="AD31" s="350">
        <f>Лист2Новосибирский!K67</f>
        <v>263.39999999999998</v>
      </c>
      <c r="AE31" s="358">
        <f>Лист2Новосибирский!L67</f>
        <v>4</v>
      </c>
      <c r="AF31" s="350">
        <f>Лист2Новосибирский!M67</f>
        <v>171.9</v>
      </c>
      <c r="AG31" s="358">
        <f>Лист2Новосибирский!N67</f>
        <v>3</v>
      </c>
      <c r="AH31" s="350">
        <f>Лист2Новосибирский!O67</f>
        <v>55</v>
      </c>
      <c r="AI31" s="358">
        <f>Лист2Новосибирский!P67</f>
        <v>1</v>
      </c>
      <c r="AJ31" s="350">
        <f>Лист2Новосибирский!Q67</f>
        <v>36.5</v>
      </c>
      <c r="AK31" s="358">
        <f>Лист2Новосибирский!R67</f>
        <v>0</v>
      </c>
      <c r="AL31" s="350">
        <f>Лист2Новосибирский!S67</f>
        <v>0</v>
      </c>
      <c r="AM31" s="358">
        <f>Лист2Новосибирский!T67</f>
        <v>10</v>
      </c>
      <c r="AN31" s="358">
        <f>Лист2Новосибирский!B69</f>
        <v>289</v>
      </c>
      <c r="AO31" s="291">
        <f>Лист2Новосибирский!C69</f>
        <v>5668.1000000000013</v>
      </c>
      <c r="AP31" s="358">
        <f>Лист2Новосибирский!D69</f>
        <v>232</v>
      </c>
      <c r="AQ31" s="291">
        <f>Лист2Новосибирский!E69</f>
        <v>4282.2400000000007</v>
      </c>
      <c r="AR31" s="358">
        <f>Лист2Новосибирский!F69</f>
        <v>57</v>
      </c>
      <c r="AS31" s="291">
        <f>Лист2Новосибирский!G69</f>
        <v>1385.86</v>
      </c>
      <c r="AT31" s="358">
        <f>Лист2Новосибирский!H69</f>
        <v>0</v>
      </c>
      <c r="AU31" s="358">
        <f>Лист2Новосибирский!I69</f>
        <v>0</v>
      </c>
      <c r="AV31" s="358">
        <f>Лист2Новосибирский!J69</f>
        <v>18</v>
      </c>
      <c r="AW31" s="350">
        <f>Лист2Новосибирский!K69</f>
        <v>960.65</v>
      </c>
      <c r="AX31" s="358">
        <f>Лист2Новосибирский!L69</f>
        <v>12</v>
      </c>
      <c r="AY31" s="350">
        <f>Лист2Новосибирский!M69</f>
        <v>650.64</v>
      </c>
      <c r="AZ31" s="358">
        <f>Лист2Новосибирский!N69</f>
        <v>5</v>
      </c>
      <c r="BA31" s="350">
        <f>Лист2Новосибирский!O69</f>
        <v>273.51</v>
      </c>
      <c r="BB31" s="358">
        <f>Лист2Новосибирский!P69</f>
        <v>1</v>
      </c>
      <c r="BC31" s="350">
        <f>Лист2Новосибирский!Q69</f>
        <v>36.5</v>
      </c>
      <c r="BD31" s="358">
        <f>Лист2Новосибирский!R69</f>
        <v>0</v>
      </c>
      <c r="BE31" s="350">
        <f>Лист2Новосибирский!S69</f>
        <v>0</v>
      </c>
      <c r="BF31" s="358">
        <f>Лист2Новосибирский!T69</f>
        <v>10</v>
      </c>
      <c r="BG31" s="351"/>
      <c r="BH31" s="351"/>
      <c r="BI31" s="352"/>
      <c r="BJ31" s="352"/>
      <c r="CM31" s="353"/>
      <c r="CN31" s="353"/>
    </row>
    <row r="32" spans="1:92" ht="27.75" customHeight="1" x14ac:dyDescent="0.3">
      <c r="A32" s="288" t="str">
        <f>[1]Лист1!A33</f>
        <v>Ордынский</v>
      </c>
      <c r="B32" s="347">
        <v>150</v>
      </c>
      <c r="C32" s="348">
        <v>2701.61</v>
      </c>
      <c r="D32" s="347">
        <v>144</v>
      </c>
      <c r="E32" s="348">
        <v>2635.81</v>
      </c>
      <c r="F32" s="347">
        <v>6</v>
      </c>
      <c r="G32" s="348">
        <v>65.8</v>
      </c>
      <c r="H32" s="347">
        <v>0</v>
      </c>
      <c r="I32" s="347">
        <v>0</v>
      </c>
      <c r="J32" s="347">
        <v>10</v>
      </c>
      <c r="K32" s="349">
        <v>501</v>
      </c>
      <c r="L32" s="347">
        <v>10</v>
      </c>
      <c r="M32" s="349">
        <v>501</v>
      </c>
      <c r="N32" s="347">
        <v>0</v>
      </c>
      <c r="O32" s="349">
        <v>0</v>
      </c>
      <c r="P32" s="347">
        <v>0</v>
      </c>
      <c r="Q32" s="347">
        <v>0</v>
      </c>
      <c r="R32" s="347">
        <v>0</v>
      </c>
      <c r="S32" s="347">
        <v>0</v>
      </c>
      <c r="T32" s="347" t="s">
        <v>273</v>
      </c>
      <c r="U32" s="358">
        <v>183</v>
      </c>
      <c r="V32" s="291">
        <v>2857.085</v>
      </c>
      <c r="W32" s="358">
        <v>111</v>
      </c>
      <c r="X32" s="291">
        <v>1760.2000000000003</v>
      </c>
      <c r="Y32" s="358">
        <v>72</v>
      </c>
      <c r="Z32" s="291">
        <v>1096.885</v>
      </c>
      <c r="AA32" s="358">
        <v>0</v>
      </c>
      <c r="AB32" s="291">
        <v>0</v>
      </c>
      <c r="AC32" s="358">
        <v>7</v>
      </c>
      <c r="AD32" s="350">
        <v>181.2</v>
      </c>
      <c r="AE32" s="358">
        <v>4</v>
      </c>
      <c r="AF32" s="350">
        <v>112.1</v>
      </c>
      <c r="AG32" s="358">
        <v>2</v>
      </c>
      <c r="AH32" s="350">
        <v>30.3</v>
      </c>
      <c r="AI32" s="358">
        <v>1</v>
      </c>
      <c r="AJ32" s="350">
        <v>38.799999999999997</v>
      </c>
      <c r="AK32" s="358">
        <v>0</v>
      </c>
      <c r="AL32" s="350">
        <v>0</v>
      </c>
      <c r="AM32" s="358" t="s">
        <v>273</v>
      </c>
      <c r="AN32" s="358">
        <v>333</v>
      </c>
      <c r="AO32" s="291">
        <v>5558.6949999999997</v>
      </c>
      <c r="AP32" s="358">
        <v>255</v>
      </c>
      <c r="AQ32" s="291">
        <v>4396.01</v>
      </c>
      <c r="AR32" s="358">
        <v>78</v>
      </c>
      <c r="AS32" s="291">
        <v>1162.6849999999999</v>
      </c>
      <c r="AT32" s="358">
        <v>0</v>
      </c>
      <c r="AU32" s="358">
        <v>0</v>
      </c>
      <c r="AV32" s="358">
        <v>17</v>
      </c>
      <c r="AW32" s="350">
        <v>682.2</v>
      </c>
      <c r="AX32" s="358">
        <v>14</v>
      </c>
      <c r="AY32" s="350">
        <v>613.1</v>
      </c>
      <c r="AZ32" s="358">
        <v>2</v>
      </c>
      <c r="BA32" s="350">
        <v>30.3</v>
      </c>
      <c r="BB32" s="358">
        <v>1</v>
      </c>
      <c r="BC32" s="350">
        <v>38.799999999999997</v>
      </c>
      <c r="BD32" s="358">
        <v>0</v>
      </c>
      <c r="BE32" s="350">
        <v>0</v>
      </c>
      <c r="BF32" s="358" t="s">
        <v>273</v>
      </c>
      <c r="BG32" s="351"/>
      <c r="BH32" s="351"/>
      <c r="BI32" s="352"/>
      <c r="BJ32" s="352"/>
      <c r="CM32" s="353"/>
      <c r="CN32" s="353"/>
    </row>
    <row r="33" spans="1:92" ht="27.75" customHeight="1" x14ac:dyDescent="0.3">
      <c r="A33" s="288" t="str">
        <f>[1]Лист1!A34</f>
        <v>Северный</v>
      </c>
      <c r="B33" s="347">
        <v>75</v>
      </c>
      <c r="C33" s="348">
        <v>1150.0199999999998</v>
      </c>
      <c r="D33" s="347">
        <v>72</v>
      </c>
      <c r="E33" s="348">
        <v>1112.4199999999998</v>
      </c>
      <c r="F33" s="347">
        <v>3</v>
      </c>
      <c r="G33" s="348">
        <v>37.6</v>
      </c>
      <c r="H33" s="347">
        <v>0</v>
      </c>
      <c r="I33" s="347">
        <v>0</v>
      </c>
      <c r="J33" s="347">
        <v>3</v>
      </c>
      <c r="K33" s="349">
        <v>72</v>
      </c>
      <c r="L33" s="347">
        <v>2</v>
      </c>
      <c r="M33" s="349">
        <v>57</v>
      </c>
      <c r="N33" s="347">
        <v>1</v>
      </c>
      <c r="O33" s="349">
        <v>15</v>
      </c>
      <c r="P33" s="347">
        <v>0</v>
      </c>
      <c r="Q33" s="347">
        <v>0</v>
      </c>
      <c r="R33" s="347">
        <v>0</v>
      </c>
      <c r="S33" s="347">
        <v>0</v>
      </c>
      <c r="T33" s="347" t="s">
        <v>273</v>
      </c>
      <c r="U33" s="358">
        <v>136</v>
      </c>
      <c r="V33" s="291">
        <v>2112.1800000000003</v>
      </c>
      <c r="W33" s="358">
        <v>116</v>
      </c>
      <c r="X33" s="291">
        <v>1816.48</v>
      </c>
      <c r="Y33" s="358">
        <v>20</v>
      </c>
      <c r="Z33" s="291">
        <v>295.7</v>
      </c>
      <c r="AA33" s="358">
        <v>0</v>
      </c>
      <c r="AB33" s="291">
        <v>0</v>
      </c>
      <c r="AC33" s="358">
        <v>11</v>
      </c>
      <c r="AD33" s="350">
        <v>479</v>
      </c>
      <c r="AE33" s="358">
        <v>3</v>
      </c>
      <c r="AF33" s="350">
        <v>232</v>
      </c>
      <c r="AG33" s="358">
        <v>8</v>
      </c>
      <c r="AH33" s="350">
        <v>247</v>
      </c>
      <c r="AI33" s="358">
        <v>0</v>
      </c>
      <c r="AJ33" s="350">
        <v>0</v>
      </c>
      <c r="AK33" s="358">
        <v>0</v>
      </c>
      <c r="AL33" s="350">
        <v>0</v>
      </c>
      <c r="AM33" s="358" t="s">
        <v>273</v>
      </c>
      <c r="AN33" s="358">
        <v>211</v>
      </c>
      <c r="AO33" s="291">
        <v>3262.2</v>
      </c>
      <c r="AP33" s="358">
        <v>188</v>
      </c>
      <c r="AQ33" s="291">
        <v>2928.8999999999996</v>
      </c>
      <c r="AR33" s="358">
        <v>23</v>
      </c>
      <c r="AS33" s="291">
        <v>333.3</v>
      </c>
      <c r="AT33" s="358">
        <v>0</v>
      </c>
      <c r="AU33" s="358">
        <v>0</v>
      </c>
      <c r="AV33" s="358">
        <v>14</v>
      </c>
      <c r="AW33" s="350">
        <v>551</v>
      </c>
      <c r="AX33" s="358">
        <v>5</v>
      </c>
      <c r="AY33" s="350">
        <v>289</v>
      </c>
      <c r="AZ33" s="358">
        <v>9</v>
      </c>
      <c r="BA33" s="350">
        <v>262</v>
      </c>
      <c r="BB33" s="358">
        <v>0</v>
      </c>
      <c r="BC33" s="350">
        <v>0</v>
      </c>
      <c r="BD33" s="358">
        <v>0</v>
      </c>
      <c r="BE33" s="350">
        <v>0</v>
      </c>
      <c r="BF33" s="358" t="s">
        <v>273</v>
      </c>
      <c r="BG33" s="351"/>
      <c r="BH33" s="351"/>
      <c r="BI33" s="352"/>
      <c r="BJ33" s="352"/>
      <c r="CM33" s="353"/>
      <c r="CN33" s="353"/>
    </row>
    <row r="34" spans="1:92" ht="27.75" customHeight="1" x14ac:dyDescent="0.3">
      <c r="A34" s="288" t="s">
        <v>247</v>
      </c>
      <c r="B34" s="347">
        <v>50</v>
      </c>
      <c r="C34" s="348">
        <v>883.93000000000006</v>
      </c>
      <c r="D34" s="347">
        <v>43</v>
      </c>
      <c r="E34" s="348">
        <v>766.26</v>
      </c>
      <c r="F34" s="347">
        <v>7</v>
      </c>
      <c r="G34" s="348">
        <v>117.67</v>
      </c>
      <c r="H34" s="347">
        <v>0</v>
      </c>
      <c r="I34" s="347">
        <v>0</v>
      </c>
      <c r="J34" s="347">
        <v>5</v>
      </c>
      <c r="K34" s="349">
        <v>233</v>
      </c>
      <c r="L34" s="347">
        <v>5</v>
      </c>
      <c r="M34" s="349">
        <v>233</v>
      </c>
      <c r="N34" s="347">
        <v>0</v>
      </c>
      <c r="O34" s="349">
        <v>0</v>
      </c>
      <c r="P34" s="347">
        <v>0</v>
      </c>
      <c r="Q34" s="347">
        <v>0</v>
      </c>
      <c r="R34" s="347">
        <v>0</v>
      </c>
      <c r="S34" s="347">
        <v>0</v>
      </c>
      <c r="T34" s="347">
        <v>1</v>
      </c>
      <c r="U34" s="358">
        <v>165</v>
      </c>
      <c r="V34" s="291">
        <v>2595.078</v>
      </c>
      <c r="W34" s="358">
        <v>100</v>
      </c>
      <c r="X34" s="291">
        <v>1713.0980000000002</v>
      </c>
      <c r="Y34" s="358">
        <v>65</v>
      </c>
      <c r="Z34" s="291">
        <v>881.9799999999999</v>
      </c>
      <c r="AA34" s="358">
        <v>0</v>
      </c>
      <c r="AB34" s="291">
        <v>0</v>
      </c>
      <c r="AC34" s="358">
        <v>11</v>
      </c>
      <c r="AD34" s="350">
        <v>337</v>
      </c>
      <c r="AE34" s="358">
        <v>8</v>
      </c>
      <c r="AF34" s="350">
        <v>252</v>
      </c>
      <c r="AG34" s="358">
        <v>1</v>
      </c>
      <c r="AH34" s="350">
        <v>46</v>
      </c>
      <c r="AI34" s="358">
        <v>2</v>
      </c>
      <c r="AJ34" s="350">
        <v>39</v>
      </c>
      <c r="AK34" s="358">
        <v>0</v>
      </c>
      <c r="AL34" s="350">
        <v>0</v>
      </c>
      <c r="AM34" s="358" t="s">
        <v>274</v>
      </c>
      <c r="AN34" s="358">
        <v>215</v>
      </c>
      <c r="AO34" s="291">
        <v>3479.0079999999998</v>
      </c>
      <c r="AP34" s="358">
        <v>143</v>
      </c>
      <c r="AQ34" s="291">
        <v>2479.3580000000002</v>
      </c>
      <c r="AR34" s="358">
        <v>72</v>
      </c>
      <c r="AS34" s="291">
        <v>999.64999999999986</v>
      </c>
      <c r="AT34" s="358">
        <v>0</v>
      </c>
      <c r="AU34" s="358">
        <v>0</v>
      </c>
      <c r="AV34" s="358">
        <v>16</v>
      </c>
      <c r="AW34" s="350">
        <v>570</v>
      </c>
      <c r="AX34" s="358">
        <v>13</v>
      </c>
      <c r="AY34" s="350">
        <v>485</v>
      </c>
      <c r="AZ34" s="358">
        <v>1</v>
      </c>
      <c r="BA34" s="350">
        <v>46</v>
      </c>
      <c r="BB34" s="358">
        <v>2</v>
      </c>
      <c r="BC34" s="350">
        <v>39</v>
      </c>
      <c r="BD34" s="358">
        <v>0</v>
      </c>
      <c r="BE34" s="350">
        <v>0</v>
      </c>
      <c r="BF34" s="358">
        <v>1</v>
      </c>
      <c r="BG34" s="351"/>
      <c r="BH34" s="351"/>
      <c r="BI34" s="352"/>
      <c r="BJ34" s="352"/>
      <c r="CM34" s="353"/>
      <c r="CN34" s="353"/>
    </row>
    <row r="35" spans="1:92" ht="27.75" customHeight="1" x14ac:dyDescent="0.3">
      <c r="A35" s="288" t="str">
        <f>[1]Лист1!A36</f>
        <v>Татарский</v>
      </c>
      <c r="B35" s="347">
        <v>45</v>
      </c>
      <c r="C35" s="348">
        <v>711.52999999999986</v>
      </c>
      <c r="D35" s="347">
        <v>44</v>
      </c>
      <c r="E35" s="348">
        <v>696.52999999999986</v>
      </c>
      <c r="F35" s="347">
        <v>1</v>
      </c>
      <c r="G35" s="348">
        <v>15</v>
      </c>
      <c r="H35" s="347">
        <v>0</v>
      </c>
      <c r="I35" s="347">
        <v>0</v>
      </c>
      <c r="J35" s="347">
        <v>1</v>
      </c>
      <c r="K35" s="349">
        <v>77.849999999999994</v>
      </c>
      <c r="L35" s="347">
        <v>1</v>
      </c>
      <c r="M35" s="349">
        <v>77.849999999999994</v>
      </c>
      <c r="N35" s="347">
        <v>0</v>
      </c>
      <c r="O35" s="349">
        <v>0</v>
      </c>
      <c r="P35" s="347">
        <v>0</v>
      </c>
      <c r="Q35" s="347">
        <v>0</v>
      </c>
      <c r="R35" s="347">
        <v>0</v>
      </c>
      <c r="S35" s="347">
        <v>0</v>
      </c>
      <c r="T35" s="347" t="s">
        <v>273</v>
      </c>
      <c r="U35" s="358">
        <v>171</v>
      </c>
      <c r="V35" s="291">
        <v>2284.0599999999995</v>
      </c>
      <c r="W35" s="358">
        <v>136</v>
      </c>
      <c r="X35" s="291">
        <v>1875.7199999999996</v>
      </c>
      <c r="Y35" s="358">
        <v>35</v>
      </c>
      <c r="Z35" s="291">
        <v>408.34000000000003</v>
      </c>
      <c r="AA35" s="358">
        <v>0</v>
      </c>
      <c r="AB35" s="291">
        <v>0</v>
      </c>
      <c r="AC35" s="358">
        <v>0</v>
      </c>
      <c r="AD35" s="350">
        <v>0</v>
      </c>
      <c r="AE35" s="358">
        <v>0</v>
      </c>
      <c r="AF35" s="350">
        <v>0</v>
      </c>
      <c r="AG35" s="358">
        <v>0</v>
      </c>
      <c r="AH35" s="350">
        <v>0</v>
      </c>
      <c r="AI35" s="358">
        <v>0</v>
      </c>
      <c r="AJ35" s="350">
        <v>0</v>
      </c>
      <c r="AK35" s="358">
        <v>0</v>
      </c>
      <c r="AL35" s="350">
        <v>0</v>
      </c>
      <c r="AM35" s="358">
        <v>5</v>
      </c>
      <c r="AN35" s="358">
        <v>216</v>
      </c>
      <c r="AO35" s="291">
        <v>2995.5899999999992</v>
      </c>
      <c r="AP35" s="358">
        <v>180</v>
      </c>
      <c r="AQ35" s="291">
        <v>2572.2499999999995</v>
      </c>
      <c r="AR35" s="358">
        <v>36</v>
      </c>
      <c r="AS35" s="291">
        <v>423.34000000000003</v>
      </c>
      <c r="AT35" s="358">
        <v>0</v>
      </c>
      <c r="AU35" s="358">
        <v>0</v>
      </c>
      <c r="AV35" s="358">
        <v>1</v>
      </c>
      <c r="AW35" s="350">
        <v>77.849999999999994</v>
      </c>
      <c r="AX35" s="358">
        <v>1</v>
      </c>
      <c r="AY35" s="350">
        <v>77.849999999999994</v>
      </c>
      <c r="AZ35" s="358">
        <v>0</v>
      </c>
      <c r="BA35" s="350">
        <v>0</v>
      </c>
      <c r="BB35" s="358">
        <v>0</v>
      </c>
      <c r="BC35" s="350">
        <v>0</v>
      </c>
      <c r="BD35" s="358">
        <v>0</v>
      </c>
      <c r="BE35" s="350">
        <v>0</v>
      </c>
      <c r="BF35" s="358">
        <v>5</v>
      </c>
      <c r="BG35" s="351"/>
      <c r="BH35" s="351"/>
      <c r="BI35" s="352"/>
      <c r="BJ35" s="352"/>
      <c r="CM35" s="353"/>
      <c r="CN35" s="353"/>
    </row>
    <row r="36" spans="1:92" ht="27.75" customHeight="1" x14ac:dyDescent="0.3">
      <c r="A36" s="288" t="str">
        <f>[1]Лист1!A37</f>
        <v>Тогучинский</v>
      </c>
      <c r="B36" s="347">
        <v>324</v>
      </c>
      <c r="C36" s="348">
        <v>6198.125</v>
      </c>
      <c r="D36" s="347">
        <v>301</v>
      </c>
      <c r="E36" s="348">
        <v>5570.66</v>
      </c>
      <c r="F36" s="347">
        <v>23</v>
      </c>
      <c r="G36" s="348">
        <v>627.46500000000003</v>
      </c>
      <c r="H36" s="347">
        <v>0</v>
      </c>
      <c r="I36" s="347">
        <v>0</v>
      </c>
      <c r="J36" s="347">
        <v>8</v>
      </c>
      <c r="K36" s="349">
        <v>348</v>
      </c>
      <c r="L36" s="347">
        <v>8</v>
      </c>
      <c r="M36" s="349">
        <v>348</v>
      </c>
      <c r="N36" s="347">
        <v>0</v>
      </c>
      <c r="O36" s="349">
        <v>0</v>
      </c>
      <c r="P36" s="347">
        <v>0</v>
      </c>
      <c r="Q36" s="347">
        <v>0</v>
      </c>
      <c r="R36" s="347">
        <v>0</v>
      </c>
      <c r="S36" s="347">
        <v>0</v>
      </c>
      <c r="T36" s="347">
        <v>1</v>
      </c>
      <c r="U36" s="358">
        <v>302</v>
      </c>
      <c r="V36" s="291">
        <v>4704.5149999999994</v>
      </c>
      <c r="W36" s="358">
        <v>290</v>
      </c>
      <c r="X36" s="291">
        <v>4528</v>
      </c>
      <c r="Y36" s="358">
        <v>11</v>
      </c>
      <c r="Z36" s="291">
        <v>164.51500000000001</v>
      </c>
      <c r="AA36" s="358">
        <v>1</v>
      </c>
      <c r="AB36" s="291">
        <v>12</v>
      </c>
      <c r="AC36" s="358">
        <v>14</v>
      </c>
      <c r="AD36" s="350">
        <v>350</v>
      </c>
      <c r="AE36" s="358">
        <v>9</v>
      </c>
      <c r="AF36" s="350">
        <v>272</v>
      </c>
      <c r="AG36" s="358">
        <v>3</v>
      </c>
      <c r="AH36" s="350">
        <v>40</v>
      </c>
      <c r="AI36" s="358">
        <v>2</v>
      </c>
      <c r="AJ36" s="350">
        <v>38</v>
      </c>
      <c r="AK36" s="358">
        <v>0</v>
      </c>
      <c r="AL36" s="350">
        <v>0</v>
      </c>
      <c r="AM36" s="358">
        <v>9</v>
      </c>
      <c r="AN36" s="358">
        <v>626</v>
      </c>
      <c r="AO36" s="291">
        <v>10902.64</v>
      </c>
      <c r="AP36" s="358">
        <v>591</v>
      </c>
      <c r="AQ36" s="291">
        <v>10098.66</v>
      </c>
      <c r="AR36" s="358">
        <v>34</v>
      </c>
      <c r="AS36" s="291">
        <v>791.98</v>
      </c>
      <c r="AT36" s="358">
        <v>1</v>
      </c>
      <c r="AU36" s="291">
        <v>12</v>
      </c>
      <c r="AV36" s="358">
        <v>22</v>
      </c>
      <c r="AW36" s="350">
        <v>698</v>
      </c>
      <c r="AX36" s="358">
        <v>17</v>
      </c>
      <c r="AY36" s="350">
        <v>620</v>
      </c>
      <c r="AZ36" s="358">
        <v>3</v>
      </c>
      <c r="BA36" s="350">
        <v>40</v>
      </c>
      <c r="BB36" s="358">
        <v>2</v>
      </c>
      <c r="BC36" s="350">
        <v>38</v>
      </c>
      <c r="BD36" s="358">
        <v>0</v>
      </c>
      <c r="BE36" s="350">
        <v>0</v>
      </c>
      <c r="BF36" s="358">
        <v>10</v>
      </c>
      <c r="BG36" s="351"/>
      <c r="BH36" s="351"/>
      <c r="BI36" s="352"/>
      <c r="BJ36" s="352"/>
      <c r="CM36" s="353"/>
      <c r="CN36" s="353"/>
    </row>
    <row r="37" spans="1:92" ht="27.75" customHeight="1" x14ac:dyDescent="0.3">
      <c r="A37" s="288" t="str">
        <f>[1]Лист1!A38</f>
        <v>Убинский</v>
      </c>
      <c r="B37" s="347">
        <v>9</v>
      </c>
      <c r="C37" s="348">
        <v>153.89999999999998</v>
      </c>
      <c r="D37" s="347">
        <v>8</v>
      </c>
      <c r="E37" s="348">
        <v>142.89999999999998</v>
      </c>
      <c r="F37" s="347">
        <v>1</v>
      </c>
      <c r="G37" s="348">
        <v>11</v>
      </c>
      <c r="H37" s="347">
        <v>0</v>
      </c>
      <c r="I37" s="347">
        <v>0</v>
      </c>
      <c r="J37" s="347">
        <v>1</v>
      </c>
      <c r="K37" s="349">
        <v>66</v>
      </c>
      <c r="L37" s="347">
        <v>1</v>
      </c>
      <c r="M37" s="349">
        <v>66</v>
      </c>
      <c r="N37" s="347">
        <v>0</v>
      </c>
      <c r="O37" s="349">
        <v>0</v>
      </c>
      <c r="P37" s="347">
        <v>0</v>
      </c>
      <c r="Q37" s="347">
        <v>0</v>
      </c>
      <c r="R37" s="347">
        <v>0</v>
      </c>
      <c r="S37" s="347">
        <v>0</v>
      </c>
      <c r="T37" s="347">
        <v>0</v>
      </c>
      <c r="U37" s="358">
        <v>118</v>
      </c>
      <c r="V37" s="291">
        <v>1726.6299999999999</v>
      </c>
      <c r="W37" s="358">
        <v>107</v>
      </c>
      <c r="X37" s="291">
        <v>1588.83</v>
      </c>
      <c r="Y37" s="358">
        <v>11</v>
      </c>
      <c r="Z37" s="291">
        <v>137.80000000000001</v>
      </c>
      <c r="AA37" s="358">
        <v>0</v>
      </c>
      <c r="AB37" s="291">
        <v>0</v>
      </c>
      <c r="AC37" s="358">
        <v>4</v>
      </c>
      <c r="AD37" s="350">
        <v>120</v>
      </c>
      <c r="AE37" s="358">
        <v>3</v>
      </c>
      <c r="AF37" s="350">
        <v>107</v>
      </c>
      <c r="AG37" s="358">
        <v>1</v>
      </c>
      <c r="AH37" s="350">
        <v>13</v>
      </c>
      <c r="AI37" s="358">
        <v>0</v>
      </c>
      <c r="AJ37" s="350">
        <v>0</v>
      </c>
      <c r="AK37" s="358">
        <v>0</v>
      </c>
      <c r="AL37" s="350">
        <v>0</v>
      </c>
      <c r="AM37" s="358">
        <v>3</v>
      </c>
      <c r="AN37" s="358">
        <v>127</v>
      </c>
      <c r="AO37" s="291">
        <v>1880.5299999999997</v>
      </c>
      <c r="AP37" s="358">
        <v>115</v>
      </c>
      <c r="AQ37" s="291">
        <v>1731.73</v>
      </c>
      <c r="AR37" s="358">
        <v>12</v>
      </c>
      <c r="AS37" s="291">
        <v>148.80000000000001</v>
      </c>
      <c r="AT37" s="358">
        <v>0</v>
      </c>
      <c r="AU37" s="358">
        <v>0</v>
      </c>
      <c r="AV37" s="358">
        <v>5</v>
      </c>
      <c r="AW37" s="350">
        <v>186</v>
      </c>
      <c r="AX37" s="358">
        <v>4</v>
      </c>
      <c r="AY37" s="350">
        <v>173</v>
      </c>
      <c r="AZ37" s="358">
        <v>1</v>
      </c>
      <c r="BA37" s="350">
        <v>13</v>
      </c>
      <c r="BB37" s="358">
        <v>0</v>
      </c>
      <c r="BC37" s="350">
        <v>0</v>
      </c>
      <c r="BD37" s="358">
        <v>0</v>
      </c>
      <c r="BE37" s="350">
        <v>0</v>
      </c>
      <c r="BF37" s="358">
        <v>3</v>
      </c>
      <c r="BG37" s="351"/>
      <c r="BH37" s="351"/>
      <c r="BI37" s="352"/>
      <c r="BJ37" s="352"/>
      <c r="CM37" s="353"/>
      <c r="CN37" s="353"/>
    </row>
    <row r="38" spans="1:92" ht="27.75" customHeight="1" x14ac:dyDescent="0.3">
      <c r="A38" s="288" t="str">
        <f>[1]Лист1!A39</f>
        <v>Усть-Таркский</v>
      </c>
      <c r="B38" s="347">
        <v>46</v>
      </c>
      <c r="C38" s="348">
        <v>676.15000000000009</v>
      </c>
      <c r="D38" s="347">
        <v>32</v>
      </c>
      <c r="E38" s="348">
        <v>504.55000000000007</v>
      </c>
      <c r="F38" s="347">
        <v>14</v>
      </c>
      <c r="G38" s="348">
        <v>171.6</v>
      </c>
      <c r="H38" s="347">
        <v>0</v>
      </c>
      <c r="I38" s="347">
        <v>0</v>
      </c>
      <c r="J38" s="347">
        <v>3</v>
      </c>
      <c r="K38" s="349">
        <v>291.5</v>
      </c>
      <c r="L38" s="347">
        <v>2</v>
      </c>
      <c r="M38" s="349">
        <v>110</v>
      </c>
      <c r="N38" s="347">
        <v>1</v>
      </c>
      <c r="O38" s="349">
        <v>181.5</v>
      </c>
      <c r="P38" s="347">
        <v>0</v>
      </c>
      <c r="Q38" s="347">
        <v>0</v>
      </c>
      <c r="R38" s="347">
        <v>0</v>
      </c>
      <c r="S38" s="347">
        <v>0</v>
      </c>
      <c r="T38" s="347">
        <v>0</v>
      </c>
      <c r="U38" s="358">
        <v>221</v>
      </c>
      <c r="V38" s="291">
        <v>3207.1899999999996</v>
      </c>
      <c r="W38" s="358">
        <v>183</v>
      </c>
      <c r="X38" s="291">
        <v>2730.58</v>
      </c>
      <c r="Y38" s="358">
        <v>38</v>
      </c>
      <c r="Z38" s="291">
        <v>476.61</v>
      </c>
      <c r="AA38" s="358">
        <v>0</v>
      </c>
      <c r="AB38" s="291">
        <v>0</v>
      </c>
      <c r="AC38" s="358">
        <v>2</v>
      </c>
      <c r="AD38" s="350">
        <v>154</v>
      </c>
      <c r="AE38" s="358">
        <v>1</v>
      </c>
      <c r="AF38" s="350">
        <v>16</v>
      </c>
      <c r="AG38" s="358">
        <v>1</v>
      </c>
      <c r="AH38" s="350">
        <v>138</v>
      </c>
      <c r="AI38" s="358">
        <v>0</v>
      </c>
      <c r="AJ38" s="350">
        <v>0</v>
      </c>
      <c r="AK38" s="358">
        <v>0</v>
      </c>
      <c r="AL38" s="350">
        <v>0</v>
      </c>
      <c r="AM38" s="358">
        <v>0</v>
      </c>
      <c r="AN38" s="358">
        <v>267</v>
      </c>
      <c r="AO38" s="291">
        <v>3883.3399999999997</v>
      </c>
      <c r="AP38" s="358">
        <v>215</v>
      </c>
      <c r="AQ38" s="291">
        <v>3235.13</v>
      </c>
      <c r="AR38" s="358">
        <v>52</v>
      </c>
      <c r="AS38" s="291">
        <v>648.21</v>
      </c>
      <c r="AT38" s="358">
        <v>0</v>
      </c>
      <c r="AU38" s="358">
        <v>0</v>
      </c>
      <c r="AV38" s="358">
        <v>5</v>
      </c>
      <c r="AW38" s="350">
        <v>445.5</v>
      </c>
      <c r="AX38" s="358">
        <v>3</v>
      </c>
      <c r="AY38" s="350">
        <v>126</v>
      </c>
      <c r="AZ38" s="358">
        <v>2</v>
      </c>
      <c r="BA38" s="350">
        <v>319.5</v>
      </c>
      <c r="BB38" s="358">
        <v>0</v>
      </c>
      <c r="BC38" s="350">
        <v>0</v>
      </c>
      <c r="BD38" s="358">
        <v>0</v>
      </c>
      <c r="BE38" s="350">
        <v>0</v>
      </c>
      <c r="BF38" s="358" t="s">
        <v>273</v>
      </c>
      <c r="BG38" s="351"/>
      <c r="BH38" s="351"/>
      <c r="BI38" s="352"/>
      <c r="BJ38" s="352"/>
      <c r="CM38" s="353"/>
      <c r="CN38" s="353"/>
    </row>
    <row r="39" spans="1:92" ht="27.75" customHeight="1" x14ac:dyDescent="0.3">
      <c r="A39" s="288" t="str">
        <f>[1]Лист1!A40</f>
        <v>Чановский</v>
      </c>
      <c r="B39" s="347">
        <v>39</v>
      </c>
      <c r="C39" s="348">
        <v>590.81999999999982</v>
      </c>
      <c r="D39" s="347">
        <v>38</v>
      </c>
      <c r="E39" s="348">
        <v>582.51999999999987</v>
      </c>
      <c r="F39" s="347">
        <v>1</v>
      </c>
      <c r="G39" s="348">
        <v>8.3000000000000007</v>
      </c>
      <c r="H39" s="347">
        <v>0</v>
      </c>
      <c r="I39" s="347">
        <v>0</v>
      </c>
      <c r="J39" s="347">
        <v>2</v>
      </c>
      <c r="K39" s="349">
        <v>131</v>
      </c>
      <c r="L39" s="347">
        <v>2</v>
      </c>
      <c r="M39" s="349">
        <v>131</v>
      </c>
      <c r="N39" s="347">
        <v>0</v>
      </c>
      <c r="O39" s="349">
        <v>0</v>
      </c>
      <c r="P39" s="347">
        <v>0</v>
      </c>
      <c r="Q39" s="347">
        <v>0</v>
      </c>
      <c r="R39" s="347">
        <v>0</v>
      </c>
      <c r="S39" s="347">
        <v>0</v>
      </c>
      <c r="T39" s="347">
        <v>2</v>
      </c>
      <c r="U39" s="358">
        <v>171</v>
      </c>
      <c r="V39" s="291">
        <v>2266.41</v>
      </c>
      <c r="W39" s="358">
        <v>161</v>
      </c>
      <c r="X39" s="291">
        <v>2138.9100000000003</v>
      </c>
      <c r="Y39" s="358">
        <v>10</v>
      </c>
      <c r="Z39" s="291">
        <v>127.5</v>
      </c>
      <c r="AA39" s="358">
        <v>0</v>
      </c>
      <c r="AB39" s="291">
        <v>0</v>
      </c>
      <c r="AC39" s="358">
        <v>3</v>
      </c>
      <c r="AD39" s="350">
        <v>256</v>
      </c>
      <c r="AE39" s="358">
        <v>2</v>
      </c>
      <c r="AF39" s="350">
        <v>192</v>
      </c>
      <c r="AG39" s="358">
        <v>1</v>
      </c>
      <c r="AH39" s="350">
        <v>64</v>
      </c>
      <c r="AI39" s="358">
        <v>0</v>
      </c>
      <c r="AJ39" s="350">
        <v>0</v>
      </c>
      <c r="AK39" s="358">
        <v>0</v>
      </c>
      <c r="AL39" s="350">
        <v>0</v>
      </c>
      <c r="AM39" s="358">
        <v>3</v>
      </c>
      <c r="AN39" s="358">
        <v>210</v>
      </c>
      <c r="AO39" s="291">
        <v>2857.2299999999996</v>
      </c>
      <c r="AP39" s="358">
        <v>199</v>
      </c>
      <c r="AQ39" s="291">
        <v>2721.4300000000003</v>
      </c>
      <c r="AR39" s="358">
        <v>11</v>
      </c>
      <c r="AS39" s="291">
        <v>135.80000000000001</v>
      </c>
      <c r="AT39" s="358">
        <v>0</v>
      </c>
      <c r="AU39" s="358">
        <v>0</v>
      </c>
      <c r="AV39" s="358">
        <v>5</v>
      </c>
      <c r="AW39" s="350">
        <v>387</v>
      </c>
      <c r="AX39" s="358">
        <v>4</v>
      </c>
      <c r="AY39" s="350">
        <v>323</v>
      </c>
      <c r="AZ39" s="358">
        <v>1</v>
      </c>
      <c r="BA39" s="350">
        <v>64</v>
      </c>
      <c r="BB39" s="358">
        <v>0</v>
      </c>
      <c r="BC39" s="350">
        <v>0</v>
      </c>
      <c r="BD39" s="358">
        <v>0</v>
      </c>
      <c r="BE39" s="350">
        <v>0</v>
      </c>
      <c r="BF39" s="358">
        <v>5</v>
      </c>
      <c r="BG39" s="351"/>
      <c r="BH39" s="351"/>
      <c r="BI39" s="352"/>
      <c r="BJ39" s="352"/>
      <c r="CM39" s="353"/>
      <c r="CN39" s="353"/>
    </row>
    <row r="40" spans="1:92" ht="27.75" customHeight="1" x14ac:dyDescent="0.3">
      <c r="A40" s="288" t="str">
        <f>[1]Лист1!A41</f>
        <v>Черепановский</v>
      </c>
      <c r="B40" s="347">
        <v>73</v>
      </c>
      <c r="C40" s="348">
        <v>1249.6799999999998</v>
      </c>
      <c r="D40" s="347">
        <v>69</v>
      </c>
      <c r="E40" s="348">
        <v>1195.28</v>
      </c>
      <c r="F40" s="347">
        <v>4</v>
      </c>
      <c r="G40" s="348">
        <v>54.4</v>
      </c>
      <c r="H40" s="347">
        <v>0</v>
      </c>
      <c r="I40" s="347">
        <v>0</v>
      </c>
      <c r="J40" s="347">
        <v>2</v>
      </c>
      <c r="K40" s="349">
        <v>94</v>
      </c>
      <c r="L40" s="347">
        <v>1</v>
      </c>
      <c r="M40" s="349">
        <v>40</v>
      </c>
      <c r="N40" s="347">
        <v>1</v>
      </c>
      <c r="O40" s="349">
        <v>54</v>
      </c>
      <c r="P40" s="347">
        <v>0</v>
      </c>
      <c r="Q40" s="347">
        <v>0</v>
      </c>
      <c r="R40" s="347">
        <v>0</v>
      </c>
      <c r="S40" s="347">
        <v>0</v>
      </c>
      <c r="T40" s="347">
        <v>1</v>
      </c>
      <c r="U40" s="358">
        <v>136</v>
      </c>
      <c r="V40" s="291">
        <v>2323.4650000000001</v>
      </c>
      <c r="W40" s="358">
        <v>122</v>
      </c>
      <c r="X40" s="291">
        <v>2048.23</v>
      </c>
      <c r="Y40" s="358">
        <v>14</v>
      </c>
      <c r="Z40" s="291">
        <v>275.23500000000001</v>
      </c>
      <c r="AA40" s="358">
        <v>0</v>
      </c>
      <c r="AB40" s="291">
        <v>0</v>
      </c>
      <c r="AC40" s="358">
        <v>6</v>
      </c>
      <c r="AD40" s="350">
        <v>211.4</v>
      </c>
      <c r="AE40" s="358">
        <v>5</v>
      </c>
      <c r="AF40" s="350">
        <v>193.4</v>
      </c>
      <c r="AG40" s="358">
        <v>1</v>
      </c>
      <c r="AH40" s="350">
        <v>18</v>
      </c>
      <c r="AI40" s="358">
        <v>0</v>
      </c>
      <c r="AJ40" s="350">
        <v>0</v>
      </c>
      <c r="AK40" s="358">
        <v>0</v>
      </c>
      <c r="AL40" s="350">
        <v>0</v>
      </c>
      <c r="AM40" s="358">
        <v>1</v>
      </c>
      <c r="AN40" s="358">
        <v>209</v>
      </c>
      <c r="AO40" s="291">
        <v>3573.145</v>
      </c>
      <c r="AP40" s="358">
        <v>191</v>
      </c>
      <c r="AQ40" s="291">
        <v>3243.51</v>
      </c>
      <c r="AR40" s="358">
        <v>18</v>
      </c>
      <c r="AS40" s="291">
        <v>329.63499999999999</v>
      </c>
      <c r="AT40" s="358">
        <v>0</v>
      </c>
      <c r="AU40" s="358">
        <v>0</v>
      </c>
      <c r="AV40" s="358">
        <v>8</v>
      </c>
      <c r="AW40" s="350">
        <v>305.39999999999998</v>
      </c>
      <c r="AX40" s="358">
        <v>6</v>
      </c>
      <c r="AY40" s="350">
        <v>233.4</v>
      </c>
      <c r="AZ40" s="358">
        <v>2</v>
      </c>
      <c r="BA40" s="350">
        <v>72</v>
      </c>
      <c r="BB40" s="358">
        <v>0</v>
      </c>
      <c r="BC40" s="350">
        <v>0</v>
      </c>
      <c r="BD40" s="358">
        <v>0</v>
      </c>
      <c r="BE40" s="350">
        <v>0</v>
      </c>
      <c r="BF40" s="358">
        <v>2</v>
      </c>
      <c r="BG40" s="351"/>
      <c r="BH40" s="351"/>
      <c r="BI40" s="352"/>
      <c r="BJ40" s="352"/>
      <c r="CM40" s="353"/>
      <c r="CN40" s="353"/>
    </row>
    <row r="41" spans="1:92" ht="27.75" customHeight="1" x14ac:dyDescent="0.3">
      <c r="A41" s="288" t="str">
        <f>[1]Лист1!A42</f>
        <v>Чистоозерный</v>
      </c>
      <c r="B41" s="347">
        <v>37</v>
      </c>
      <c r="C41" s="348">
        <v>626.16000000000008</v>
      </c>
      <c r="D41" s="347">
        <v>36</v>
      </c>
      <c r="E41" s="348">
        <v>610.05000000000007</v>
      </c>
      <c r="F41" s="347">
        <v>1</v>
      </c>
      <c r="G41" s="348">
        <v>16.11</v>
      </c>
      <c r="H41" s="347">
        <v>0</v>
      </c>
      <c r="I41" s="347">
        <v>0</v>
      </c>
      <c r="J41" s="347">
        <v>0</v>
      </c>
      <c r="K41" s="349">
        <v>0</v>
      </c>
      <c r="L41" s="347">
        <v>0</v>
      </c>
      <c r="M41" s="349">
        <v>0</v>
      </c>
      <c r="N41" s="347">
        <v>0</v>
      </c>
      <c r="O41" s="349">
        <v>0</v>
      </c>
      <c r="P41" s="347">
        <v>0</v>
      </c>
      <c r="Q41" s="347">
        <v>0</v>
      </c>
      <c r="R41" s="347">
        <v>0</v>
      </c>
      <c r="S41" s="347">
        <v>0</v>
      </c>
      <c r="T41" s="347">
        <v>1</v>
      </c>
      <c r="U41" s="358">
        <v>159</v>
      </c>
      <c r="V41" s="291">
        <v>2293.5299999999997</v>
      </c>
      <c r="W41" s="358">
        <v>126</v>
      </c>
      <c r="X41" s="291">
        <v>1900.1899999999998</v>
      </c>
      <c r="Y41" s="358">
        <v>33</v>
      </c>
      <c r="Z41" s="291">
        <v>393.33999999999992</v>
      </c>
      <c r="AA41" s="358">
        <v>0</v>
      </c>
      <c r="AB41" s="291">
        <v>0</v>
      </c>
      <c r="AC41" s="358">
        <v>0</v>
      </c>
      <c r="AD41" s="350">
        <v>0</v>
      </c>
      <c r="AE41" s="358">
        <v>0</v>
      </c>
      <c r="AF41" s="350">
        <v>0</v>
      </c>
      <c r="AG41" s="358">
        <v>0</v>
      </c>
      <c r="AH41" s="350">
        <v>0</v>
      </c>
      <c r="AI41" s="358">
        <v>0</v>
      </c>
      <c r="AJ41" s="350">
        <v>0</v>
      </c>
      <c r="AK41" s="358">
        <v>0</v>
      </c>
      <c r="AL41" s="350">
        <v>0</v>
      </c>
      <c r="AM41" s="358">
        <v>2</v>
      </c>
      <c r="AN41" s="358">
        <v>196</v>
      </c>
      <c r="AO41" s="291">
        <v>2919.6899999999996</v>
      </c>
      <c r="AP41" s="358">
        <v>162</v>
      </c>
      <c r="AQ41" s="291">
        <v>2510.2399999999998</v>
      </c>
      <c r="AR41" s="358">
        <v>34</v>
      </c>
      <c r="AS41" s="291">
        <v>409.44999999999993</v>
      </c>
      <c r="AT41" s="358">
        <v>0</v>
      </c>
      <c r="AU41" s="358">
        <v>0</v>
      </c>
      <c r="AV41" s="358">
        <v>0</v>
      </c>
      <c r="AW41" s="350">
        <v>0</v>
      </c>
      <c r="AX41" s="358">
        <v>0</v>
      </c>
      <c r="AY41" s="350">
        <v>0</v>
      </c>
      <c r="AZ41" s="358">
        <v>0</v>
      </c>
      <c r="BA41" s="350">
        <v>0</v>
      </c>
      <c r="BB41" s="358">
        <v>0</v>
      </c>
      <c r="BC41" s="350">
        <v>0</v>
      </c>
      <c r="BD41" s="358">
        <v>0</v>
      </c>
      <c r="BE41" s="350">
        <v>0</v>
      </c>
      <c r="BF41" s="358">
        <v>3</v>
      </c>
      <c r="BG41" s="351"/>
      <c r="BH41" s="351"/>
      <c r="BI41" s="352"/>
      <c r="BJ41" s="352"/>
      <c r="CM41" s="353"/>
      <c r="CN41" s="353"/>
    </row>
    <row r="42" spans="1:92" ht="27.75" customHeight="1" x14ac:dyDescent="0.3">
      <c r="A42" s="288" t="str">
        <f>[1]Лист1!A43</f>
        <v>Чулымский</v>
      </c>
      <c r="B42" s="347">
        <v>56</v>
      </c>
      <c r="C42" s="348">
        <v>967.15000000000009</v>
      </c>
      <c r="D42" s="347">
        <v>38</v>
      </c>
      <c r="E42" s="348">
        <v>577.55000000000007</v>
      </c>
      <c r="F42" s="347">
        <v>18</v>
      </c>
      <c r="G42" s="348">
        <v>389.6</v>
      </c>
      <c r="H42" s="347">
        <v>0</v>
      </c>
      <c r="I42" s="347">
        <v>0</v>
      </c>
      <c r="J42" s="347">
        <v>4</v>
      </c>
      <c r="K42" s="349">
        <v>158</v>
      </c>
      <c r="L42" s="347">
        <v>3</v>
      </c>
      <c r="M42" s="349">
        <v>107</v>
      </c>
      <c r="N42" s="347">
        <v>1</v>
      </c>
      <c r="O42" s="349">
        <v>51</v>
      </c>
      <c r="P42" s="347">
        <v>0</v>
      </c>
      <c r="Q42" s="347">
        <v>0</v>
      </c>
      <c r="R42" s="347">
        <v>0</v>
      </c>
      <c r="S42" s="347">
        <v>0</v>
      </c>
      <c r="T42" s="347" t="s">
        <v>273</v>
      </c>
      <c r="U42" s="358">
        <v>121</v>
      </c>
      <c r="V42" s="291">
        <v>1640.82</v>
      </c>
      <c r="W42" s="358">
        <v>79</v>
      </c>
      <c r="X42" s="291">
        <v>1205.2699999999998</v>
      </c>
      <c r="Y42" s="358">
        <v>42</v>
      </c>
      <c r="Z42" s="291">
        <v>435.55</v>
      </c>
      <c r="AA42" s="358">
        <v>0</v>
      </c>
      <c r="AB42" s="291">
        <v>0</v>
      </c>
      <c r="AC42" s="358">
        <v>6</v>
      </c>
      <c r="AD42" s="350">
        <v>176</v>
      </c>
      <c r="AE42" s="358">
        <v>4</v>
      </c>
      <c r="AF42" s="350">
        <v>153</v>
      </c>
      <c r="AG42" s="358">
        <v>2</v>
      </c>
      <c r="AH42" s="350">
        <v>23</v>
      </c>
      <c r="AI42" s="358">
        <v>0</v>
      </c>
      <c r="AJ42" s="350">
        <v>0</v>
      </c>
      <c r="AK42" s="358">
        <v>0</v>
      </c>
      <c r="AL42" s="350">
        <v>0</v>
      </c>
      <c r="AM42" s="358">
        <v>1</v>
      </c>
      <c r="AN42" s="358">
        <v>177</v>
      </c>
      <c r="AO42" s="291">
        <v>2607.9700000000003</v>
      </c>
      <c r="AP42" s="358">
        <v>117</v>
      </c>
      <c r="AQ42" s="291">
        <v>1782.8199999999997</v>
      </c>
      <c r="AR42" s="358">
        <v>60</v>
      </c>
      <c r="AS42" s="291">
        <v>825.15000000000009</v>
      </c>
      <c r="AT42" s="358">
        <v>0</v>
      </c>
      <c r="AU42" s="358">
        <v>0</v>
      </c>
      <c r="AV42" s="358">
        <v>10</v>
      </c>
      <c r="AW42" s="350">
        <v>334</v>
      </c>
      <c r="AX42" s="358">
        <v>7</v>
      </c>
      <c r="AY42" s="350">
        <v>260</v>
      </c>
      <c r="AZ42" s="358">
        <v>3</v>
      </c>
      <c r="BA42" s="350">
        <v>74</v>
      </c>
      <c r="BB42" s="358">
        <v>0</v>
      </c>
      <c r="BC42" s="350">
        <v>0</v>
      </c>
      <c r="BD42" s="358">
        <v>0</v>
      </c>
      <c r="BE42" s="350">
        <v>0</v>
      </c>
      <c r="BF42" s="358">
        <v>1</v>
      </c>
      <c r="BG42" s="351"/>
      <c r="BH42" s="351"/>
      <c r="BI42" s="352"/>
      <c r="BJ42" s="352"/>
      <c r="CM42" s="353"/>
      <c r="CN42" s="353"/>
    </row>
    <row r="43" spans="1:92" ht="27.75" customHeight="1" x14ac:dyDescent="0.3">
      <c r="A43" s="300" t="s">
        <v>256</v>
      </c>
      <c r="B43" s="360">
        <v>3</v>
      </c>
      <c r="C43" s="361">
        <v>123.62</v>
      </c>
      <c r="D43" s="360">
        <v>3</v>
      </c>
      <c r="E43" s="361">
        <v>123.62</v>
      </c>
      <c r="F43" s="360">
        <v>0</v>
      </c>
      <c r="G43" s="361">
        <v>0</v>
      </c>
      <c r="H43" s="360">
        <v>0</v>
      </c>
      <c r="I43" s="360">
        <v>0</v>
      </c>
      <c r="J43" s="360">
        <v>0</v>
      </c>
      <c r="K43" s="362">
        <v>0</v>
      </c>
      <c r="L43" s="360">
        <v>0</v>
      </c>
      <c r="M43" s="362">
        <v>0</v>
      </c>
      <c r="N43" s="360">
        <v>0</v>
      </c>
      <c r="O43" s="362">
        <v>0</v>
      </c>
      <c r="P43" s="360">
        <v>0</v>
      </c>
      <c r="Q43" s="360">
        <v>0</v>
      </c>
      <c r="R43" s="360">
        <v>0</v>
      </c>
      <c r="S43" s="360">
        <v>0</v>
      </c>
      <c r="T43" s="360">
        <v>0</v>
      </c>
      <c r="U43" s="358">
        <v>1</v>
      </c>
      <c r="V43" s="291">
        <v>15</v>
      </c>
      <c r="W43" s="358">
        <v>1</v>
      </c>
      <c r="X43" s="291">
        <v>15</v>
      </c>
      <c r="Y43" s="358">
        <v>0</v>
      </c>
      <c r="Z43" s="291">
        <v>0</v>
      </c>
      <c r="AA43" s="358">
        <v>0</v>
      </c>
      <c r="AB43" s="291">
        <v>0</v>
      </c>
      <c r="AC43" s="358">
        <v>0</v>
      </c>
      <c r="AD43" s="350">
        <v>0</v>
      </c>
      <c r="AE43" s="358">
        <v>0</v>
      </c>
      <c r="AF43" s="350">
        <v>0</v>
      </c>
      <c r="AG43" s="358">
        <v>0</v>
      </c>
      <c r="AH43" s="350">
        <v>0</v>
      </c>
      <c r="AI43" s="358">
        <v>0</v>
      </c>
      <c r="AJ43" s="350">
        <v>0</v>
      </c>
      <c r="AK43" s="358">
        <v>0</v>
      </c>
      <c r="AL43" s="350">
        <v>0</v>
      </c>
      <c r="AM43" s="358">
        <v>0</v>
      </c>
      <c r="AN43" s="358">
        <v>4</v>
      </c>
      <c r="AO43" s="291">
        <v>138.62</v>
      </c>
      <c r="AP43" s="358">
        <v>4</v>
      </c>
      <c r="AQ43" s="291">
        <v>138.62</v>
      </c>
      <c r="AR43" s="358">
        <v>0</v>
      </c>
      <c r="AS43" s="291">
        <v>0</v>
      </c>
      <c r="AT43" s="358">
        <v>0</v>
      </c>
      <c r="AU43" s="358">
        <v>0</v>
      </c>
      <c r="AV43" s="358">
        <v>0</v>
      </c>
      <c r="AW43" s="350">
        <v>0</v>
      </c>
      <c r="AX43" s="358">
        <v>0</v>
      </c>
      <c r="AY43" s="350">
        <v>0</v>
      </c>
      <c r="AZ43" s="358">
        <v>0</v>
      </c>
      <c r="BA43" s="350">
        <v>0</v>
      </c>
      <c r="BB43" s="358">
        <v>0</v>
      </c>
      <c r="BC43" s="350">
        <v>0</v>
      </c>
      <c r="BD43" s="358">
        <v>0</v>
      </c>
      <c r="BE43" s="350">
        <v>0</v>
      </c>
      <c r="BF43" s="358">
        <v>0</v>
      </c>
      <c r="BG43" s="351"/>
      <c r="BH43" s="351"/>
      <c r="BI43" s="352"/>
      <c r="BJ43" s="352"/>
      <c r="CM43" s="353"/>
      <c r="CN43" s="353"/>
    </row>
    <row r="44" spans="1:92" ht="27.75" customHeight="1" thickBot="1" x14ac:dyDescent="0.35">
      <c r="A44" s="363" t="s">
        <v>257</v>
      </c>
      <c r="B44" s="364">
        <v>7</v>
      </c>
      <c r="C44" s="365">
        <v>233.8</v>
      </c>
      <c r="D44" s="364">
        <v>5</v>
      </c>
      <c r="E44" s="365">
        <v>171.5</v>
      </c>
      <c r="F44" s="364">
        <v>2</v>
      </c>
      <c r="G44" s="365">
        <v>62.3</v>
      </c>
      <c r="H44" s="364">
        <v>0</v>
      </c>
      <c r="I44" s="364">
        <v>0</v>
      </c>
      <c r="J44" s="364">
        <v>1</v>
      </c>
      <c r="K44" s="366">
        <v>47</v>
      </c>
      <c r="L44" s="364">
        <v>1</v>
      </c>
      <c r="M44" s="366">
        <v>47</v>
      </c>
      <c r="N44" s="364">
        <v>0</v>
      </c>
      <c r="O44" s="366">
        <v>0</v>
      </c>
      <c r="P44" s="364">
        <v>0</v>
      </c>
      <c r="Q44" s="364">
        <v>0</v>
      </c>
      <c r="R44" s="364">
        <v>0</v>
      </c>
      <c r="S44" s="364">
        <v>0</v>
      </c>
      <c r="T44" s="364">
        <v>1</v>
      </c>
      <c r="U44" s="368"/>
      <c r="V44" s="302"/>
      <c r="W44" s="368"/>
      <c r="X44" s="302"/>
      <c r="Y44" s="368"/>
      <c r="Z44" s="302"/>
      <c r="AA44" s="368"/>
      <c r="AB44" s="302"/>
      <c r="AC44" s="368"/>
      <c r="AD44" s="367"/>
      <c r="AE44" s="368"/>
      <c r="AF44" s="367"/>
      <c r="AG44" s="368"/>
      <c r="AH44" s="367"/>
      <c r="AI44" s="368"/>
      <c r="AJ44" s="367"/>
      <c r="AK44" s="368"/>
      <c r="AL44" s="367"/>
      <c r="AM44" s="368"/>
      <c r="AN44" s="368">
        <v>7</v>
      </c>
      <c r="AO44" s="302">
        <v>233.8</v>
      </c>
      <c r="AP44" s="368">
        <v>5</v>
      </c>
      <c r="AQ44" s="302">
        <v>171.5</v>
      </c>
      <c r="AR44" s="368">
        <v>2</v>
      </c>
      <c r="AS44" s="302">
        <v>62.3</v>
      </c>
      <c r="AT44" s="368">
        <v>0</v>
      </c>
      <c r="AU44" s="368">
        <v>0</v>
      </c>
      <c r="AV44" s="368">
        <v>1</v>
      </c>
      <c r="AW44" s="367">
        <v>47</v>
      </c>
      <c r="AX44" s="368">
        <v>1</v>
      </c>
      <c r="AY44" s="367">
        <v>47</v>
      </c>
      <c r="AZ44" s="368">
        <v>0</v>
      </c>
      <c r="BA44" s="367">
        <v>0</v>
      </c>
      <c r="BB44" s="368">
        <v>0</v>
      </c>
      <c r="BC44" s="367">
        <v>0</v>
      </c>
      <c r="BD44" s="368">
        <v>0</v>
      </c>
      <c r="BE44" s="367">
        <v>0</v>
      </c>
      <c r="BF44" s="368">
        <v>1</v>
      </c>
      <c r="BG44" s="351"/>
      <c r="BH44" s="351"/>
      <c r="BI44" s="352"/>
      <c r="BJ44" s="352"/>
      <c r="CM44" s="353"/>
      <c r="CN44" s="353"/>
    </row>
    <row r="45" spans="1:92" ht="17.25" thickTop="1" x14ac:dyDescent="0.25">
      <c r="A45" s="369"/>
      <c r="B45" s="370">
        <f>[2]Лист2!G$17</f>
        <v>0</v>
      </c>
      <c r="C45" s="371"/>
      <c r="D45" s="372"/>
      <c r="E45" s="373"/>
      <c r="F45" s="374"/>
      <c r="G45" s="375"/>
      <c r="H45" s="376"/>
      <c r="I45" s="375"/>
      <c r="J45" s="377"/>
      <c r="K45" s="375"/>
      <c r="L45" s="377"/>
      <c r="M45" s="375"/>
      <c r="N45" s="378"/>
      <c r="O45" s="375"/>
      <c r="P45" s="375"/>
      <c r="Q45" s="375"/>
      <c r="R45" s="377"/>
      <c r="S45" s="375"/>
      <c r="T45" s="379"/>
      <c r="U45" s="380"/>
      <c r="V45" s="381"/>
      <c r="W45" s="382"/>
      <c r="X45" s="383"/>
      <c r="Y45" s="376"/>
      <c r="Z45" s="375"/>
      <c r="AA45" s="376"/>
      <c r="AB45" s="384"/>
      <c r="AC45" s="377"/>
      <c r="AD45" s="384"/>
      <c r="AE45" s="377"/>
      <c r="AF45" s="375"/>
      <c r="AG45" s="377"/>
      <c r="AH45" s="375"/>
      <c r="AI45" s="375"/>
      <c r="AJ45" s="375"/>
      <c r="AK45" s="377"/>
      <c r="AL45" s="375"/>
      <c r="AM45" s="379"/>
      <c r="AN45" s="306"/>
      <c r="AO45" s="381"/>
      <c r="AP45" s="305"/>
      <c r="AQ45" s="383"/>
      <c r="AR45" s="385"/>
      <c r="AS45" s="375"/>
      <c r="AT45" s="385"/>
      <c r="AU45" s="375"/>
      <c r="AV45" s="375"/>
      <c r="AW45" s="375"/>
      <c r="AX45" s="377"/>
      <c r="AY45" s="375"/>
      <c r="AZ45" s="377"/>
      <c r="BA45" s="375"/>
      <c r="BB45" s="375"/>
      <c r="BC45" s="375"/>
      <c r="BD45" s="377"/>
      <c r="BE45" s="375"/>
      <c r="BF45" s="379"/>
      <c r="BG45" s="351"/>
      <c r="BH45" s="351"/>
      <c r="BI45" s="352"/>
      <c r="BJ45" s="352"/>
    </row>
    <row r="46" spans="1:92" ht="16.5" x14ac:dyDescent="0.25">
      <c r="A46" s="386" t="s">
        <v>216</v>
      </c>
      <c r="B46" s="387">
        <f>SUM(B13:B44)</f>
        <v>2104</v>
      </c>
      <c r="C46" s="388">
        <f t="shared" ref="C46:BF46" si="0">SUM(C13:C44)</f>
        <v>36841.591000000008</v>
      </c>
      <c r="D46" s="387">
        <f t="shared" si="0"/>
        <v>1953</v>
      </c>
      <c r="E46" s="388">
        <f t="shared" si="0"/>
        <v>33752.531000000003</v>
      </c>
      <c r="F46" s="387">
        <f t="shared" si="0"/>
        <v>151</v>
      </c>
      <c r="G46" s="388">
        <f t="shared" si="0"/>
        <v>3089.0600000000004</v>
      </c>
      <c r="H46" s="387">
        <f t="shared" si="0"/>
        <v>0</v>
      </c>
      <c r="I46" s="389">
        <f t="shared" si="0"/>
        <v>0</v>
      </c>
      <c r="J46" s="387">
        <f t="shared" si="0"/>
        <v>96</v>
      </c>
      <c r="K46" s="389">
        <f t="shared" si="0"/>
        <v>5578.81</v>
      </c>
      <c r="L46" s="387">
        <f t="shared" si="0"/>
        <v>81</v>
      </c>
      <c r="M46" s="389">
        <f t="shared" si="0"/>
        <v>4299.5</v>
      </c>
      <c r="N46" s="387">
        <f t="shared" si="0"/>
        <v>15</v>
      </c>
      <c r="O46" s="389">
        <f t="shared" si="0"/>
        <v>1279.31</v>
      </c>
      <c r="P46" s="387">
        <f t="shared" si="0"/>
        <v>0</v>
      </c>
      <c r="Q46" s="389">
        <f t="shared" si="0"/>
        <v>0</v>
      </c>
      <c r="R46" s="387">
        <f t="shared" si="0"/>
        <v>0</v>
      </c>
      <c r="S46" s="389">
        <f t="shared" si="0"/>
        <v>0</v>
      </c>
      <c r="T46" s="390">
        <f t="shared" si="0"/>
        <v>14</v>
      </c>
      <c r="U46" s="391">
        <f t="shared" si="0"/>
        <v>5142</v>
      </c>
      <c r="V46" s="388">
        <f t="shared" si="0"/>
        <v>77786.135000000009</v>
      </c>
      <c r="W46" s="387">
        <f t="shared" si="0"/>
        <v>4073</v>
      </c>
      <c r="X46" s="388">
        <f t="shared" si="0"/>
        <v>63140.143000000018</v>
      </c>
      <c r="Y46" s="387">
        <f t="shared" si="0"/>
        <v>1068</v>
      </c>
      <c r="Z46" s="388">
        <f t="shared" si="0"/>
        <v>14633.992</v>
      </c>
      <c r="AA46" s="387">
        <f t="shared" si="0"/>
        <v>1</v>
      </c>
      <c r="AB46" s="388">
        <f t="shared" si="0"/>
        <v>12</v>
      </c>
      <c r="AC46" s="387">
        <f t="shared" si="0"/>
        <v>178</v>
      </c>
      <c r="AD46" s="389">
        <f t="shared" si="0"/>
        <v>7183.7599999999993</v>
      </c>
      <c r="AE46" s="387">
        <f t="shared" si="0"/>
        <v>126</v>
      </c>
      <c r="AF46" s="389">
        <f t="shared" si="0"/>
        <v>5322.44</v>
      </c>
      <c r="AG46" s="387">
        <f t="shared" si="0"/>
        <v>46</v>
      </c>
      <c r="AH46" s="389">
        <f t="shared" si="0"/>
        <v>1709.02</v>
      </c>
      <c r="AI46" s="387">
        <f t="shared" si="0"/>
        <v>6</v>
      </c>
      <c r="AJ46" s="389">
        <f t="shared" si="0"/>
        <v>152.30000000000001</v>
      </c>
      <c r="AK46" s="387">
        <f t="shared" si="0"/>
        <v>0</v>
      </c>
      <c r="AL46" s="389">
        <f t="shared" si="0"/>
        <v>0</v>
      </c>
      <c r="AM46" s="390">
        <f t="shared" si="0"/>
        <v>58</v>
      </c>
      <c r="AN46" s="391">
        <f t="shared" si="0"/>
        <v>7246</v>
      </c>
      <c r="AO46" s="388">
        <f t="shared" si="0"/>
        <v>114627.72599999998</v>
      </c>
      <c r="AP46" s="387">
        <f t="shared" si="0"/>
        <v>6026</v>
      </c>
      <c r="AQ46" s="388">
        <f t="shared" si="0"/>
        <v>96892.674000000028</v>
      </c>
      <c r="AR46" s="387">
        <f t="shared" si="0"/>
        <v>1219</v>
      </c>
      <c r="AS46" s="388">
        <f t="shared" si="0"/>
        <v>17723.051999999996</v>
      </c>
      <c r="AT46" s="387">
        <f t="shared" si="0"/>
        <v>1</v>
      </c>
      <c r="AU46" s="388">
        <f t="shared" si="0"/>
        <v>12</v>
      </c>
      <c r="AV46" s="387">
        <f t="shared" si="0"/>
        <v>274</v>
      </c>
      <c r="AW46" s="389">
        <f t="shared" si="0"/>
        <v>12762.57</v>
      </c>
      <c r="AX46" s="387">
        <f t="shared" si="0"/>
        <v>207</v>
      </c>
      <c r="AY46" s="389">
        <f t="shared" si="0"/>
        <v>9621.94</v>
      </c>
      <c r="AZ46" s="387">
        <f t="shared" si="0"/>
        <v>61</v>
      </c>
      <c r="BA46" s="389">
        <f t="shared" si="0"/>
        <v>2988.33</v>
      </c>
      <c r="BB46" s="387">
        <f t="shared" si="0"/>
        <v>6</v>
      </c>
      <c r="BC46" s="389">
        <f t="shared" si="0"/>
        <v>152.30000000000001</v>
      </c>
      <c r="BD46" s="387">
        <f t="shared" si="0"/>
        <v>0</v>
      </c>
      <c r="BE46" s="389">
        <f t="shared" si="0"/>
        <v>0</v>
      </c>
      <c r="BF46" s="390">
        <f t="shared" si="0"/>
        <v>72</v>
      </c>
      <c r="BG46" s="351"/>
      <c r="BH46" s="351"/>
      <c r="BI46" s="352"/>
      <c r="BJ46" s="352"/>
    </row>
    <row r="47" spans="1:92" ht="18" customHeight="1" thickBot="1" x14ac:dyDescent="0.3">
      <c r="A47" s="392"/>
      <c r="B47" s="393">
        <f>[3]Лист2!G$15</f>
        <v>0</v>
      </c>
      <c r="C47" s="394"/>
      <c r="D47" s="395"/>
      <c r="E47" s="396"/>
      <c r="F47" s="397"/>
      <c r="G47" s="398"/>
      <c r="H47" s="399"/>
      <c r="I47" s="400"/>
      <c r="J47" s="400"/>
      <c r="K47" s="398"/>
      <c r="L47" s="400"/>
      <c r="M47" s="398"/>
      <c r="N47" s="400"/>
      <c r="O47" s="400"/>
      <c r="P47" s="400"/>
      <c r="Q47" s="400"/>
      <c r="R47" s="400"/>
      <c r="S47" s="398"/>
      <c r="T47" s="401"/>
      <c r="U47" s="402"/>
      <c r="V47" s="403"/>
      <c r="W47" s="404"/>
      <c r="X47" s="405"/>
      <c r="Y47" s="399"/>
      <c r="Z47" s="398"/>
      <c r="AA47" s="399"/>
      <c r="AB47" s="400"/>
      <c r="AC47" s="400"/>
      <c r="AD47" s="398"/>
      <c r="AE47" s="400"/>
      <c r="AF47" s="398"/>
      <c r="AG47" s="400"/>
      <c r="AH47" s="400"/>
      <c r="AI47" s="400"/>
      <c r="AJ47" s="400"/>
      <c r="AK47" s="400"/>
      <c r="AL47" s="398"/>
      <c r="AM47" s="401"/>
      <c r="AN47" s="402"/>
      <c r="AO47" s="403"/>
      <c r="AP47" s="404"/>
      <c r="AQ47" s="405"/>
      <c r="AR47" s="399"/>
      <c r="AS47" s="398"/>
      <c r="AT47" s="399"/>
      <c r="AU47" s="398"/>
      <c r="AV47" s="400"/>
      <c r="AW47" s="398"/>
      <c r="AX47" s="400"/>
      <c r="AY47" s="398"/>
      <c r="AZ47" s="400"/>
      <c r="BA47" s="400"/>
      <c r="BB47" s="400"/>
      <c r="BC47" s="400"/>
      <c r="BD47" s="400"/>
      <c r="BE47" s="398"/>
      <c r="BF47" s="401"/>
      <c r="BG47" s="351"/>
      <c r="BI47" s="352"/>
      <c r="BJ47" s="352"/>
    </row>
    <row r="48" spans="1:92" ht="17.25" thickTop="1" x14ac:dyDescent="0.25">
      <c r="A48" s="128"/>
      <c r="B48"/>
      <c r="C48" s="406"/>
      <c r="D48" s="406"/>
      <c r="E48" s="407"/>
      <c r="F48" s="407"/>
      <c r="G48" s="408"/>
      <c r="H48" s="408"/>
      <c r="I48" s="408"/>
      <c r="J48" s="408"/>
      <c r="K48" s="408"/>
      <c r="L48" s="408"/>
      <c r="M48" s="408"/>
      <c r="N48" s="408"/>
      <c r="O48" s="408"/>
      <c r="P48" s="408"/>
      <c r="Q48" s="408"/>
      <c r="R48" s="408"/>
      <c r="S48" s="408"/>
      <c r="T48" s="408"/>
      <c r="BI48" s="352"/>
      <c r="BJ48" s="352"/>
    </row>
    <row r="49" spans="1:62" ht="15.75" x14ac:dyDescent="0.25">
      <c r="A49" s="74"/>
      <c r="B49"/>
      <c r="C49" s="406"/>
      <c r="D49" s="406"/>
      <c r="E49" s="406"/>
      <c r="F49" s="406"/>
      <c r="G49" s="406"/>
      <c r="H49" s="406"/>
      <c r="I49" s="406"/>
      <c r="J49" s="406"/>
      <c r="K49" s="406"/>
      <c r="L49" s="406"/>
      <c r="M49" s="406"/>
      <c r="N49" s="406"/>
      <c r="O49" s="406"/>
      <c r="P49" s="406"/>
      <c r="Q49" s="406"/>
      <c r="R49" s="406"/>
      <c r="S49" s="406"/>
      <c r="T49" s="406"/>
      <c r="U49" s="409"/>
      <c r="W49" s="409"/>
      <c r="X49" s="409"/>
      <c r="Y49" s="409"/>
      <c r="Z49" s="409"/>
      <c r="AA49" s="409"/>
      <c r="AB49" s="409"/>
      <c r="AC49" s="409"/>
      <c r="AD49" s="409"/>
      <c r="AE49" s="409"/>
      <c r="AF49" s="409"/>
      <c r="AG49" s="409"/>
      <c r="AH49" s="409"/>
      <c r="AI49" s="409"/>
      <c r="AJ49" s="409"/>
      <c r="AK49" s="409"/>
      <c r="AL49" s="409"/>
      <c r="AN49" s="409"/>
      <c r="AO49" s="409"/>
      <c r="AP49" s="409"/>
      <c r="AQ49" s="409"/>
      <c r="AR49" s="409"/>
      <c r="AS49" s="409"/>
      <c r="AT49" s="409"/>
      <c r="AU49" s="409"/>
      <c r="AV49" s="409"/>
      <c r="AW49" s="409"/>
      <c r="AX49" s="409"/>
      <c r="AY49" s="409"/>
      <c r="AZ49" s="409"/>
      <c r="BA49" s="409"/>
      <c r="BB49" s="409"/>
      <c r="BC49" s="409"/>
      <c r="BD49" s="409"/>
      <c r="BE49" s="409"/>
      <c r="BF49" s="409"/>
      <c r="BI49" s="352"/>
      <c r="BJ49" s="352"/>
    </row>
    <row r="50" spans="1:62" ht="15.75" x14ac:dyDescent="0.25">
      <c r="A50" s="74"/>
      <c r="B50"/>
      <c r="C50" s="410"/>
      <c r="D50" s="410"/>
      <c r="E50" s="410"/>
      <c r="F50" s="410"/>
      <c r="G50" s="410"/>
      <c r="H50" s="410"/>
      <c r="I50" s="410"/>
      <c r="J50" s="410"/>
      <c r="K50" s="410"/>
      <c r="L50" s="410"/>
      <c r="M50" s="410"/>
      <c r="N50" s="410"/>
      <c r="O50" s="410"/>
      <c r="P50" s="410"/>
      <c r="Q50" s="410"/>
      <c r="R50" s="410"/>
      <c r="S50" s="410"/>
      <c r="T50" s="411"/>
      <c r="AN50" s="412"/>
      <c r="AO50" s="413"/>
      <c r="AP50" s="412"/>
      <c r="AQ50" s="413"/>
      <c r="AR50" s="412"/>
      <c r="AS50" s="413"/>
      <c r="AT50" s="412"/>
      <c r="AU50" s="412"/>
      <c r="AV50" s="414"/>
      <c r="AW50" s="415"/>
      <c r="AX50" s="412"/>
      <c r="AY50" s="409"/>
      <c r="AZ50" s="414"/>
      <c r="BA50" s="415"/>
      <c r="BB50" s="412"/>
      <c r="BC50" s="409"/>
      <c r="BD50" s="412"/>
      <c r="BE50" s="409"/>
      <c r="BF50" s="412"/>
    </row>
    <row r="51" spans="1:62" x14ac:dyDescent="0.2">
      <c r="B51"/>
    </row>
    <row r="52" spans="1:62" x14ac:dyDescent="0.2">
      <c r="B52"/>
      <c r="BC52" s="409"/>
    </row>
    <row r="53" spans="1:62" x14ac:dyDescent="0.2">
      <c r="B53"/>
    </row>
    <row r="54" spans="1:62" x14ac:dyDescent="0.2">
      <c r="B54"/>
    </row>
    <row r="55" spans="1:62" x14ac:dyDescent="0.2">
      <c r="B55"/>
    </row>
    <row r="56" spans="1:62" x14ac:dyDescent="0.2">
      <c r="B56"/>
    </row>
    <row r="57" spans="1:62" x14ac:dyDescent="0.2">
      <c r="B57"/>
    </row>
  </sheetData>
  <mergeCells count="48">
    <mergeCell ref="A3:T3"/>
    <mergeCell ref="U3:AM3"/>
    <mergeCell ref="AN3:BF3"/>
    <mergeCell ref="A4:T4"/>
    <mergeCell ref="U4:AM4"/>
    <mergeCell ref="AN4:BF4"/>
    <mergeCell ref="A8:A11"/>
    <mergeCell ref="B8:I8"/>
    <mergeCell ref="J8:S8"/>
    <mergeCell ref="T8:T11"/>
    <mergeCell ref="U8:AB8"/>
    <mergeCell ref="W10:X10"/>
    <mergeCell ref="Y10:Z10"/>
    <mergeCell ref="L10:M10"/>
    <mergeCell ref="N10:O10"/>
    <mergeCell ref="P10:Q10"/>
    <mergeCell ref="R10:S10"/>
    <mergeCell ref="BF8:BF11"/>
    <mergeCell ref="B9:C10"/>
    <mergeCell ref="D9:I9"/>
    <mergeCell ref="J9:K10"/>
    <mergeCell ref="L9:S9"/>
    <mergeCell ref="U9:V9"/>
    <mergeCell ref="W9:AB9"/>
    <mergeCell ref="AC8:AL8"/>
    <mergeCell ref="AC9:AD9"/>
    <mergeCell ref="AE9:AL9"/>
    <mergeCell ref="AN9:AO9"/>
    <mergeCell ref="AP9:AU9"/>
    <mergeCell ref="AV9:AW9"/>
    <mergeCell ref="AX9:BE9"/>
    <mergeCell ref="D10:E10"/>
    <mergeCell ref="F10:G10"/>
    <mergeCell ref="AM8:AM11"/>
    <mergeCell ref="AN8:AU8"/>
    <mergeCell ref="AV8:BE8"/>
    <mergeCell ref="BD10:BE10"/>
    <mergeCell ref="AA10:AB10"/>
    <mergeCell ref="AE10:AF10"/>
    <mergeCell ref="AG10:AH10"/>
    <mergeCell ref="AI10:AJ10"/>
    <mergeCell ref="AK10:AL10"/>
    <mergeCell ref="AP10:AQ10"/>
    <mergeCell ref="AR10:AS10"/>
    <mergeCell ref="AT10:AU10"/>
    <mergeCell ref="AX10:AY10"/>
    <mergeCell ref="AZ10:BA10"/>
    <mergeCell ref="BB10:BC10"/>
  </mergeCells>
  <conditionalFormatting sqref="AN45:BE45 AN47:BE47 C46:BF46 C45:S45 C47:S47 V45:AL45 U13:U45 U47:AL47 B13:B47 C13:T44 V13:BF44">
    <cfRule type="cellIs" dxfId="0" priority="1" stopIfTrue="1" operator="equal">
      <formula>0</formula>
    </cfRule>
  </conditionalFormatting>
  <printOptions horizontalCentered="1" verticalCentered="1"/>
  <pageMargins left="0" right="0" top="0.19" bottom="0" header="0" footer="0"/>
  <pageSetup paperSize="9" scale="41" fitToWidth="3" pageOrder="overThenDown" orientation="landscape" r:id="rId1"/>
  <headerFooter alignWithMargins="0"/>
  <colBreaks count="1" manualBreakCount="1">
    <brk id="39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Лист1Новосибирский</vt:lpstr>
      <vt:lpstr>Лист2Новосибирский</vt:lpstr>
      <vt:lpstr>Лист1Итог23</vt:lpstr>
      <vt:lpstr>Лист2Итог23</vt:lpstr>
      <vt:lpstr>Лист1Итог23!Заголовки_для_печати</vt:lpstr>
      <vt:lpstr>Лист2Итог23!Заголовки_для_печати</vt:lpstr>
      <vt:lpstr>Лист1Итог23!Область_печати</vt:lpstr>
      <vt:lpstr>Лист1Новосибирский!Область_печати</vt:lpstr>
      <vt:lpstr>Лист2Итог23!Область_печати</vt:lpstr>
      <vt:lpstr>Лист2Новосибирский!Область_печати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Макарова Флюра Явдатовна</dc:creator>
  <cp:lastModifiedBy>Макарова Флюра Явдатовна</cp:lastModifiedBy>
  <cp:lastPrinted>2023-11-03T07:03:24Z</cp:lastPrinted>
  <dcterms:created xsi:type="dcterms:W3CDTF">2023-11-03T02:34:59Z</dcterms:created>
  <dcterms:modified xsi:type="dcterms:W3CDTF">2023-11-15T01:06:13Z</dcterms:modified>
</cp:coreProperties>
</file>