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0" activeTab="0"/>
  </bookViews>
  <sheets>
    <sheet name="табл.1" sheetId="1" r:id="rId1"/>
    <sheet name="табл.1 (2)" sheetId="2" r:id="rId2"/>
    <sheet name="табл.2 - 2012" sheetId="3" r:id="rId3"/>
    <sheet name="табл.3 - 2013" sheetId="4" r:id="rId4"/>
    <sheet name="т.5 стр-во 2012" sheetId="5" r:id="rId5"/>
    <sheet name="т.5 стр-во 2013" sheetId="6" r:id="rId6"/>
    <sheet name="т.6 к.рем. 2012" sheetId="7" r:id="rId7"/>
    <sheet name="т.6 к.рем. 2013" sheetId="8" r:id="rId8"/>
    <sheet name="т.7 рем.2012" sheetId="9" r:id="rId9"/>
    <sheet name="т.7 рем.2013" sheetId="10" r:id="rId10"/>
  </sheets>
  <externalReferences>
    <externalReference r:id="rId13"/>
    <externalReference r:id="rId14"/>
  </externalReferences>
  <definedNames>
    <definedName name="Z_91A87461_662B_4BF9_83A5_EBC0DE619820_.wvu.Cols" localSheetId="4" hidden="1">'т.5 стр-во 2012'!#REF!,'т.5 стр-во 2012'!#REF!</definedName>
    <definedName name="Z_91A87461_662B_4BF9_83A5_EBC0DE619820_.wvu.Cols" localSheetId="5" hidden="1">'т.5 стр-во 2013'!#REF!,'т.5 стр-во 2013'!#REF!</definedName>
    <definedName name="Z_91A87461_662B_4BF9_83A5_EBC0DE619820_.wvu.Cols" localSheetId="6" hidden="1">'т.6 к.рем. 2012'!#REF!,'т.6 к.рем. 2012'!#REF!</definedName>
    <definedName name="Z_91A87461_662B_4BF9_83A5_EBC0DE619820_.wvu.Cols" localSheetId="7" hidden="1">'т.6 к.рем. 2013'!#REF!,'т.6 к.рем. 2013'!#REF!</definedName>
    <definedName name="Z_91A87461_662B_4BF9_83A5_EBC0DE619820_.wvu.Cols" localSheetId="8" hidden="1">'т.7 рем.2012'!#REF!,'т.7 рем.2012'!#REF!,'т.7 рем.2012'!#REF!</definedName>
    <definedName name="Z_91A87461_662B_4BF9_83A5_EBC0DE619820_.wvu.Cols" localSheetId="9" hidden="1">'т.7 рем.2013'!#REF!,'т.7 рем.2013'!#REF!,'т.7 рем.2013'!#REF!</definedName>
    <definedName name="Z_91A87461_662B_4BF9_83A5_EBC0DE619820_.wvu.Cols" localSheetId="2" hidden="1">'табл.2 - 2012'!#REF!</definedName>
    <definedName name="Z_91A87461_662B_4BF9_83A5_EBC0DE619820_.wvu.Cols" localSheetId="3" hidden="1">'табл.3 - 2013'!$H:$H</definedName>
    <definedName name="Z_91A87461_662B_4BF9_83A5_EBC0DE619820_.wvu.PrintArea" localSheetId="4" hidden="1">'т.5 стр-во 2012'!$B$1:$H$53</definedName>
    <definedName name="Z_91A87461_662B_4BF9_83A5_EBC0DE619820_.wvu.PrintArea" localSheetId="5" hidden="1">'т.5 стр-во 2013'!$B$1:$Q$92</definedName>
    <definedName name="Z_91A87461_662B_4BF9_83A5_EBC0DE619820_.wvu.PrintArea" localSheetId="6" hidden="1">'т.6 к.рем. 2012'!$B$1:$M$147</definedName>
    <definedName name="Z_91A87461_662B_4BF9_83A5_EBC0DE619820_.wvu.PrintArea" localSheetId="7" hidden="1">'т.6 к.рем. 2013'!$B$1:$M$143</definedName>
    <definedName name="Z_91A87461_662B_4BF9_83A5_EBC0DE619820_.wvu.PrintArea" localSheetId="8" hidden="1">'т.7 рем.2012'!$A$1:$K$122</definedName>
    <definedName name="Z_91A87461_662B_4BF9_83A5_EBC0DE619820_.wvu.PrintArea" localSheetId="9" hidden="1">'т.7 рем.2013'!$A$1:$K$105</definedName>
    <definedName name="Z_91A87461_662B_4BF9_83A5_EBC0DE619820_.wvu.PrintArea" localSheetId="0" hidden="1">'табл.1'!$A$1:$F$46</definedName>
    <definedName name="Z_91A87461_662B_4BF9_83A5_EBC0DE619820_.wvu.PrintArea" localSheetId="1" hidden="1">'табл.1 (2)'!$A$1:$H$40</definedName>
    <definedName name="Z_91A87461_662B_4BF9_83A5_EBC0DE619820_.wvu.PrintTitles" localSheetId="4" hidden="1">'т.5 стр-во 2012'!$5:$7</definedName>
    <definedName name="Z_91A87461_662B_4BF9_83A5_EBC0DE619820_.wvu.PrintTitles" localSheetId="5" hidden="1">'т.5 стр-во 2013'!$5:$7</definedName>
    <definedName name="Z_91A87461_662B_4BF9_83A5_EBC0DE619820_.wvu.PrintTitles" localSheetId="6" hidden="1">'т.6 к.рем. 2012'!$4:$6</definedName>
    <definedName name="Z_91A87461_662B_4BF9_83A5_EBC0DE619820_.wvu.PrintTitles" localSheetId="7" hidden="1">'т.6 к.рем. 2013'!$4:$6</definedName>
    <definedName name="Z_91A87461_662B_4BF9_83A5_EBC0DE619820_.wvu.PrintTitles" localSheetId="8" hidden="1">'т.7 рем.2012'!$7:$9</definedName>
    <definedName name="Z_91A87461_662B_4BF9_83A5_EBC0DE619820_.wvu.PrintTitles" localSheetId="9" hidden="1">'т.7 рем.2013'!$5:$7</definedName>
    <definedName name="Z_91A87461_662B_4BF9_83A5_EBC0DE619820_.wvu.Rows" localSheetId="4" hidden="1">'т.5 стр-во 2012'!#REF!,'т.5 стр-во 2012'!#REF!,'т.5 стр-во 2012'!#REF!,'т.5 стр-во 2012'!#REF!,'т.5 стр-во 2012'!$54:$54,'т.5 стр-во 2012'!$70:$70</definedName>
    <definedName name="Z_91A87461_662B_4BF9_83A5_EBC0DE619820_.wvu.Rows" localSheetId="5" hidden="1">'т.5 стр-во 2013'!#REF!,'т.5 стр-во 2013'!#REF!,'т.5 стр-во 2013'!#REF!,'т.5 стр-во 2013'!#REF!,'т.5 стр-во 2013'!$98:$99,'т.5 стр-во 2013'!$115:$115</definedName>
    <definedName name="Z_91A87461_662B_4BF9_83A5_EBC0DE619820_.wvu.Rows" localSheetId="6" hidden="1">'т.6 к.рем. 2012'!#REF!,'т.6 к.рем. 2012'!#REF!,'т.6 к.рем. 2012'!#REF!,'т.6 к.рем. 2012'!#REF!,'т.6 к.рем. 2012'!#REF!,'т.6 к.рем. 2012'!#REF!</definedName>
    <definedName name="Z_91A87461_662B_4BF9_83A5_EBC0DE619820_.wvu.Rows" localSheetId="7" hidden="1">'т.6 к.рем. 2013'!#REF!,'т.6 к.рем. 2013'!#REF!,'т.6 к.рем. 2013'!#REF!,'т.6 к.рем. 2013'!#REF!,'т.6 к.рем. 2013'!#REF!,'т.6 к.рем. 2013'!#REF!</definedName>
    <definedName name="Z_91A87461_662B_4BF9_83A5_EBC0DE619820_.wvu.Rows" localSheetId="8" hidden="1">'т.7 рем.2012'!#REF!,'т.7 рем.2012'!$18:$19,'т.7 рем.2012'!#REF!,'т.7 рем.2012'!#REF!,'т.7 рем.2012'!#REF!,'т.7 рем.2012'!#REF!,'т.7 рем.2012'!#REF!,'т.7 рем.2012'!#REF!,'т.7 рем.2012'!#REF!,'т.7 рем.2012'!#REF!,'т.7 рем.2012'!#REF!</definedName>
    <definedName name="Z_91A87461_662B_4BF9_83A5_EBC0DE619820_.wvu.Rows" localSheetId="9" hidden="1">'т.7 рем.2013'!#REF!,'т.7 рем.2013'!$16:$17,'т.7 рем.2013'!#REF!,'т.7 рем.2013'!#REF!,'т.7 рем.2013'!#REF!,'т.7 рем.2013'!#REF!,'т.7 рем.2013'!#REF!,'т.7 рем.2013'!#REF!,'т.7 рем.2013'!#REF!,'т.7 рем.2013'!#REF!,'т.7 рем.2013'!#REF!</definedName>
    <definedName name="Z_91A87461_662B_4BF9_83A5_EBC0DE619820_.wvu.Rows" localSheetId="0" hidden="1">'табл.1'!$14:$15,'табл.1'!$22:$24,'табл.1'!$26:$26,'табл.1'!$29:$29,'табл.1'!$34:$34,'табл.1'!$37:$37,'табл.1'!$43:$43,'табл.1'!$45:$45</definedName>
    <definedName name="Z_91A87461_662B_4BF9_83A5_EBC0DE619820_.wvu.Rows" localSheetId="1" hidden="1">'табл.1 (2)'!$11:$12,'табл.1 (2)'!$17:$19,'табл.1 (2)'!$21:$21,'табл.1 (2)'!$24:$24,'табл.1 (2)'!$28:$28,'табл.1 (2)'!$31:$31,'табл.1 (2)'!$37:$37,'табл.1 (2)'!$39:$39</definedName>
    <definedName name="_xlnm.Print_Titles" localSheetId="4">'т.5 стр-во 2012'!$5:$7</definedName>
    <definedName name="_xlnm.Print_Titles" localSheetId="5">'т.5 стр-во 2013'!$5:$7</definedName>
    <definedName name="_xlnm.Print_Titles" localSheetId="6">'т.6 к.рем. 2012'!$4:$6</definedName>
    <definedName name="_xlnm.Print_Titles" localSheetId="7">'т.6 к.рем. 2013'!$4:$6</definedName>
    <definedName name="_xlnm.Print_Titles" localSheetId="8">'т.7 рем.2012'!$7:$9</definedName>
    <definedName name="_xlnm.Print_Titles" localSheetId="9">'т.7 рем.2013'!$5:$7</definedName>
    <definedName name="_xlnm.Print_Area" localSheetId="4">'т.5 стр-во 2012'!$B$1:$H$53</definedName>
    <definedName name="_xlnm.Print_Area" localSheetId="5">'т.5 стр-во 2013'!$B$1:$R$92</definedName>
    <definedName name="_xlnm.Print_Area" localSheetId="6">'т.6 к.рем. 2012'!$B$1:$M$137</definedName>
    <definedName name="_xlnm.Print_Area" localSheetId="7">'т.6 к.рем. 2013'!$B$1:$M$133</definedName>
    <definedName name="_xlnm.Print_Area" localSheetId="8">'т.7 рем.2012'!$A$1:$K$122</definedName>
    <definedName name="_xlnm.Print_Area" localSheetId="9">'т.7 рем.2013'!$A$1:$K$105</definedName>
    <definedName name="_xlnm.Print_Area" localSheetId="0">'табл.1'!$A$1:$F$46</definedName>
    <definedName name="_xlnm.Print_Area" localSheetId="1">'табл.1 (2)'!$A$1:$H$40</definedName>
    <definedName name="_xlnm.Print_Area" localSheetId="2">'табл.2 - 2012'!$A$1:$W$55</definedName>
    <definedName name="_xlnm.Print_Area" localSheetId="3">'табл.3 - 2013'!$A$1:$X$54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W176" authorId="0">
      <text>
        <r>
          <rPr>
            <b/>
            <sz val="8"/>
            <rFont val="Tahoma"/>
            <family val="0"/>
          </rPr>
          <t>Громенко:</t>
        </r>
        <r>
          <rPr>
            <sz val="8"/>
            <rFont val="Tahoma"/>
            <family val="0"/>
          </rPr>
          <t xml:space="preserve">
примыкание к Н-Л-К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1</author>
  </authors>
  <commentList>
    <comment ref="Q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 млн руб. добавлено на а/д "Черепаново-Листвянка". Обращение председателя ЗСНСО. Морозу пообещали что ТУАД добавит</t>
        </r>
      </text>
    </comment>
    <comment ref="T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449,9 т.р. Снято на путепровод содержание подходов в г. Барабинске в связи с передачей в областную собственность. 182.4 т.р. Снято на убинский район на переданую в собственность а/д Орловка. 400 т.р. Добавлено для Швеца по демонтажу рекламных конструкций. три раза по 145,4 т.р. и 1153,7 т.р. добавил Швец на ПВК. 67,1 добавлено с капремонта а/д Новый Кошкуль в связи спроведением торгов сложилась экономия в счет восстановления отвлеченных средств по сл.зап. Блескунова и оставшиеся 565,2 т.р.. 1064,1 туалеты</t>
        </r>
      </text>
    </comment>
    <comment ref="T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185,1 добавлено на уборку и мойку туалетов</t>
        </r>
      </text>
    </comment>
    <comment ref="T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462,6 добавлено на уборку туалетов</t>
        </r>
      </text>
    </comment>
    <comment ref="T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46,2 добавлено на туалеты</t>
        </r>
      </text>
    </comment>
    <comment ref="T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416,4 добавлено туалеты</t>
        </r>
      </text>
    </comment>
    <comment ref="T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416,4 туалеты</t>
        </r>
      </text>
    </comment>
    <comment ref="T2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555,2 туалеты да
156,4 из Новосиб р-на</t>
        </r>
      </text>
    </comment>
    <comment ref="T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1249,2 туалеты
2500 б/х не вошла</t>
        </r>
      </text>
    </comment>
    <comment ref="S4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596,5 дополнительно  введенные 3 светофора в 2011 году, 973 на электроэнергию дополнительно, 748,8 конкину частично (ему еще надо 131,2 т.р. 1134 -Конкину сл. Зап. комплексы видеофиксации "Арена"</t>
        </r>
      </text>
    </comment>
    <comment ref="T29" authorId="1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 вошло 1265,373 по приказу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U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582,2 восстановлены средства снятые ранее на убинский для вновь переданной дороги Орловка и барабинский район содержание подходов к путепроводу</t>
        </r>
      </text>
    </comment>
    <comment ref="T4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2457 это свободный резерв, 960,8 Конкину, нет на светофор и эл. энергию дополнительных как предусмотрено в 2012 году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B3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наименовании убрать Новосибирский район</t>
        </r>
      </text>
    </comment>
    <comment ref="B4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наименование поменяла по сл.зап. Кодалаева</t>
        </r>
      </text>
    </comment>
    <comment ref="B3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была в наименовании первая очередь строительства, надо или нет?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G8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бюджете сейчас 21262,9 тыс. руб.</t>
        </r>
      </text>
    </comment>
    <comment ref="B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за счет средств мо выполнено твердое покрытие в 2010 году на а/д "32 км а/д "Н-0605" - Шагалка" остось грунтовое покрытие на данной дороге</t>
        </r>
      </text>
    </comment>
    <comment ref="Q6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остаток по стартовой стоимости до ввода объекта в эксплуатацию 244 млн. руб.</t>
        </r>
      </text>
    </comment>
    <comment ref="M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ф.б. надо 42 млн. руб. </t>
        </r>
      </text>
    </comment>
    <comment ref="M1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40 млн.руб.</t>
        </r>
      </text>
    </comment>
    <comment ref="M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28 млн.руб.</t>
        </r>
      </text>
    </comment>
    <comment ref="M4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38 млн.руб.</t>
        </r>
      </text>
    </comment>
    <comment ref="M7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34 млн. руб.</t>
        </r>
      </text>
    </comment>
    <comment ref="R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11 млн.руб.</t>
        </r>
      </text>
    </comment>
    <comment ref="R8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50 млн.руб.</t>
        </r>
      </text>
    </comment>
    <comment ref="R8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19 млн. руб.</t>
        </r>
      </text>
    </comment>
    <comment ref="R5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31 млн.руб.</t>
        </r>
      </text>
    </comment>
    <comment ref="R3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23 млн. руб.</t>
        </r>
      </text>
    </comment>
    <comment ref="R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10 млн.руб.</t>
        </r>
      </text>
    </comment>
    <comment ref="R2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42 млн.руб.</t>
        </r>
      </text>
    </comment>
    <comment ref="R2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18 млн.руб.</t>
        </r>
      </text>
    </comment>
    <comment ref="R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18 млн.руб.</t>
        </r>
      </text>
    </comment>
    <comment ref="R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21 млн.руб.</t>
        </r>
      </text>
    </comment>
    <comment ref="R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21 млн.руб.</t>
        </r>
      </text>
    </comment>
    <comment ref="H7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субсидии оставить 38417,2, стартовая 40439,2</t>
        </r>
      </text>
    </comment>
    <comment ref="M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необходимо добавить 8190 млн. руб. субсидий из фб</t>
        </r>
      </text>
    </comment>
    <comment ref="M3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12 млн. надо добавить по субсидиям</t>
        </r>
      </text>
    </comment>
    <comment ref="R5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фб надо 18000 тыс. руб.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  <author>Admin</author>
    <author>1</author>
  </authors>
  <commentList>
    <comment ref="W16" authorId="0">
      <text>
        <r>
          <rPr>
            <b/>
            <sz val="8"/>
            <rFont val="Tahoma"/>
            <family val="0"/>
          </rPr>
          <t>Громенко:</t>
        </r>
        <r>
          <rPr>
            <sz val="8"/>
            <rFont val="Tahoma"/>
            <family val="0"/>
          </rPr>
          <t xml:space="preserve">
2 км по ПСД
на 2011 - 1 км 13,052 млн. руб</t>
        </r>
      </text>
    </comment>
    <comment ref="X209" authorId="0">
      <text>
        <r>
          <rPr>
            <b/>
            <sz val="8"/>
            <rFont val="Tahoma"/>
            <family val="0"/>
          </rPr>
          <t>Громенко:</t>
        </r>
        <r>
          <rPr>
            <sz val="8"/>
            <rFont val="Tahoma"/>
            <family val="0"/>
          </rPr>
          <t xml:space="preserve">
1,3 км по ПСД
на 2011 год 2,2 км 21,470 млн. руб</t>
        </r>
      </text>
    </comment>
    <comment ref="B32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поправить наименование</t>
        </r>
      </text>
    </comment>
    <comment ref="B67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поправить в наименовании километры</t>
        </r>
      </text>
    </comment>
    <comment ref="B83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заменить наименование</t>
        </r>
      </text>
    </comment>
    <comment ref="I35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Губернатор согласовывал 83400 тыс. руб. Финансисты 40 млн. руб. не приняли. В 2013 2457 добавлено за счет перераспределения 4 млн. со стройки колыванского района федерального объекта частично</t>
        </r>
      </text>
    </comment>
    <comment ref="B71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 проекте на мосту стоят ассигнования надо на трубу перенести</t>
        </r>
      </text>
    </comment>
    <comment ref="B70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поменяла в наименовании км по сл.зап. Кадалаева</t>
        </r>
      </text>
    </comment>
    <comment ref="J65" authorId="2">
      <text>
        <r>
          <rPr>
            <b/>
            <sz val="9"/>
            <rFont val="Tahoma"/>
            <family val="0"/>
          </rPr>
          <t>Громенко:</t>
        </r>
        <r>
          <rPr>
            <sz val="9"/>
            <rFont val="Tahoma"/>
            <family val="0"/>
          </rPr>
          <t xml:space="preserve">
по торгам</t>
        </r>
      </text>
    </comment>
    <comment ref="M65" authorId="2">
      <text>
        <r>
          <rPr>
            <b/>
            <sz val="9"/>
            <rFont val="Tahoma"/>
            <family val="0"/>
          </rPr>
          <t>Громенко:</t>
        </r>
        <r>
          <rPr>
            <sz val="9"/>
            <rFont val="Tahoma"/>
            <family val="0"/>
          </rPr>
          <t xml:space="preserve">
без торгов</t>
        </r>
      </text>
    </comment>
    <comment ref="J36" authorId="2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по торгам 15443,607</t>
        </r>
      </text>
    </comment>
    <comment ref="E13" authorId="2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1,576 км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U15" authorId="0">
      <text>
        <r>
          <rPr>
            <b/>
            <sz val="8"/>
            <rFont val="Tahoma"/>
            <family val="0"/>
          </rPr>
          <t>Громенко:</t>
        </r>
        <r>
          <rPr>
            <sz val="8"/>
            <rFont val="Tahoma"/>
            <family val="0"/>
          </rPr>
          <t xml:space="preserve">
2 км по ПСД
на 2011 - 1 км 13,052 млн. руб</t>
        </r>
      </text>
    </comment>
    <comment ref="V205" authorId="0">
      <text>
        <r>
          <rPr>
            <b/>
            <sz val="8"/>
            <rFont val="Tahoma"/>
            <family val="0"/>
          </rPr>
          <t>Громенко:</t>
        </r>
        <r>
          <rPr>
            <sz val="8"/>
            <rFont val="Tahoma"/>
            <family val="0"/>
          </rPr>
          <t xml:space="preserve">
1,3 км по ПСД
на 2011 год 2,2 км 21,470 млн. руб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X207" authorId="0">
      <text>
        <r>
          <rPr>
            <b/>
            <sz val="8"/>
            <rFont val="Tahoma"/>
            <family val="0"/>
          </rPr>
          <t>Громенко:</t>
        </r>
        <r>
          <rPr>
            <sz val="8"/>
            <rFont val="Tahoma"/>
            <family val="0"/>
          </rPr>
          <t xml:space="preserve">
примыкание к Н-Л-К</t>
        </r>
      </text>
    </comment>
  </commentList>
</comments>
</file>

<file path=xl/sharedStrings.xml><?xml version="1.0" encoding="utf-8"?>
<sst xmlns="http://schemas.openxmlformats.org/spreadsheetml/2006/main" count="1875" uniqueCount="484">
  <si>
    <t>Реконструкция автомобильной дороги "155 км а/д "К-02" - Сергеевка - Воскресенка" в Кыштовском районе Новосибирской области</t>
  </si>
  <si>
    <t>Реконструкция автомобильной дороги "1002 км а.д. "Байкал"- Петрово" на участке км 54 - км 65 в Усть-Таркском районе Новосибирской области. I пусковой комплекс</t>
  </si>
  <si>
    <t>мост ч/р Сориха на 16 км а/д "1 км а/д "Н-1816"-Жерновка-Чудиново"</t>
  </si>
  <si>
    <t>Обустройство остан. площадок</t>
  </si>
  <si>
    <t>а/д "5 км а/д "Н-0203" - Казанка"</t>
  </si>
  <si>
    <t>а/д "Мошково - Кайлы"</t>
  </si>
  <si>
    <t>региональные</t>
  </si>
  <si>
    <t>межмуниципальные</t>
  </si>
  <si>
    <t>трубы</t>
  </si>
  <si>
    <t>1 шт</t>
  </si>
  <si>
    <t>ИТОГО</t>
  </si>
  <si>
    <t>3 шт</t>
  </si>
  <si>
    <t>мост ч/р Ояш на 8 км а/д "100 км а/д "М-53" -  Сибиряк"</t>
  </si>
  <si>
    <t>L=14,7</t>
  </si>
  <si>
    <t>L=121,2</t>
  </si>
  <si>
    <t>L=11,7</t>
  </si>
  <si>
    <t>L=51</t>
  </si>
  <si>
    <t>L=27</t>
  </si>
  <si>
    <t>Путепровод через ж/д "Новосибирск  -Барнаул" на 1км а/д "71 км а/д  "М-52" - Легостаево - Чемское - 76 км а/д "К-16" (в гр. района)</t>
  </si>
  <si>
    <t>L=47,3</t>
  </si>
  <si>
    <t>мост ч/р Мильтюш на 104 км а/д "Сузун - Битки - Преображенка - 18 км а/д "К-13" (в гр. района)"</t>
  </si>
  <si>
    <t>L=9</t>
  </si>
  <si>
    <t xml:space="preserve">мост ч/р ручей на 19км а/д "Мальчиха - Лаптевка" </t>
  </si>
  <si>
    <t>L=8</t>
  </si>
  <si>
    <t>L=68,8</t>
  </si>
  <si>
    <t>мост ч/р Чека на 18 км а/д "Кыштовка-Орловка"</t>
  </si>
  <si>
    <t>L=51,1</t>
  </si>
  <si>
    <t>L=17,3</t>
  </si>
  <si>
    <t>L=72</t>
  </si>
  <si>
    <t>L=42</t>
  </si>
  <si>
    <t>L=28,6</t>
  </si>
  <si>
    <t>мост ч/р Кама на 80км а/д "Куйбышев - Северное"</t>
  </si>
  <si>
    <t>L=41,3</t>
  </si>
  <si>
    <t>мост ч/р Каменка на 1 км а/д "8 км а/д "Н-2404" - Красный Камешок - Ключики"</t>
  </si>
  <si>
    <t>L=13,5</t>
  </si>
  <si>
    <t>L=19,8</t>
  </si>
  <si>
    <t>L=41,2</t>
  </si>
  <si>
    <t>мост ч/р Тартас на 116км а/д "Куйбышев - Венгерово - гр. Омской области (старый Московский тракт)"</t>
  </si>
  <si>
    <r>
      <t xml:space="preserve">а/д "Инская - Барышево - 39 км а/д "К-19р" </t>
    </r>
    <r>
      <rPr>
        <sz val="10"/>
        <rFont val="Times New Roman Cyr"/>
        <family val="0"/>
      </rPr>
      <t>(в гр. района)"</t>
    </r>
  </si>
  <si>
    <t xml:space="preserve">на дорожно-строительные работы в Новосибирской области </t>
  </si>
  <si>
    <t>по направлениям использования в разрезе территорий на 2012 год</t>
  </si>
  <si>
    <t>Распределение бюджетных ассигнований из областного бюджета</t>
  </si>
  <si>
    <t xml:space="preserve">ВСЕГО на 2012 год                                                                  </t>
  </si>
  <si>
    <t>Резерв средств</t>
  </si>
  <si>
    <t>р.п. Кольцово</t>
  </si>
  <si>
    <t>№</t>
  </si>
  <si>
    <t>НАИМЕНОВАНИЕ   РАЙОНОВ</t>
  </si>
  <si>
    <t>Строительство и реконструкция</t>
  </si>
  <si>
    <t xml:space="preserve">Капитальный ремонт </t>
  </si>
  <si>
    <t xml:space="preserve">РЕМОНТ </t>
  </si>
  <si>
    <t>Планово-предупредительный ремонт</t>
  </si>
  <si>
    <t>СОДЕРЖАНИЕ областных дорог</t>
  </si>
  <si>
    <t>ФСР</t>
  </si>
  <si>
    <t>п.п</t>
  </si>
  <si>
    <t xml:space="preserve"> км</t>
  </si>
  <si>
    <t xml:space="preserve">региональ-ные автодороги </t>
  </si>
  <si>
    <t>межмуници-пальные автодороги</t>
  </si>
  <si>
    <t>Всего                                   тыс.руб.</t>
  </si>
  <si>
    <t>в том числе</t>
  </si>
  <si>
    <t>дороги</t>
  </si>
  <si>
    <t>шт.</t>
  </si>
  <si>
    <t>тыс.руб.</t>
  </si>
  <si>
    <t>тыс.м2</t>
  </si>
  <si>
    <t xml:space="preserve"> БАГАНСКИЙ     </t>
  </si>
  <si>
    <t xml:space="preserve"> БАРАБИНСКИЙ   </t>
  </si>
  <si>
    <t xml:space="preserve"> БОЛОТНИНСКИЙ  </t>
  </si>
  <si>
    <t xml:space="preserve"> ВЕНГЕРОВСКИЙ</t>
  </si>
  <si>
    <t xml:space="preserve"> ДОВОЛЕНСКИЙ   </t>
  </si>
  <si>
    <t xml:space="preserve"> ЗДВИНСКИЙ     </t>
  </si>
  <si>
    <t xml:space="preserve"> ИСКИТИМСКИЙ   </t>
  </si>
  <si>
    <t xml:space="preserve"> КАРАСУКСКИЙ   </t>
  </si>
  <si>
    <t xml:space="preserve"> КАРГАТСКИЙ    </t>
  </si>
  <si>
    <t xml:space="preserve"> КОЛЫВАНСКИЙ   </t>
  </si>
  <si>
    <t xml:space="preserve"> КОЧЕНЕВСКИЙ   </t>
  </si>
  <si>
    <t xml:space="preserve"> КОЧКОВСКИЙ    </t>
  </si>
  <si>
    <t xml:space="preserve"> КРАСНОЗЕРСКИЙ </t>
  </si>
  <si>
    <t xml:space="preserve"> КУЙБЫШЕВСКИЙ  </t>
  </si>
  <si>
    <t xml:space="preserve"> КУПИНСКИЙ     </t>
  </si>
  <si>
    <t xml:space="preserve"> КЫШТОВСКИЙ    </t>
  </si>
  <si>
    <t xml:space="preserve"> МАСЛЯНИНСКИЙ  </t>
  </si>
  <si>
    <t xml:space="preserve"> МОШКОВСКИЙ    </t>
  </si>
  <si>
    <t xml:space="preserve"> НОВОСИБИРСКИЙ        </t>
  </si>
  <si>
    <t xml:space="preserve"> ОРДЫНСКИЙ     </t>
  </si>
  <si>
    <t xml:space="preserve"> СЕВЕРНЫЙ      </t>
  </si>
  <si>
    <t xml:space="preserve"> СУЗУНСКИЙ     </t>
  </si>
  <si>
    <t xml:space="preserve"> ТАТАРСКИЙ     </t>
  </si>
  <si>
    <t xml:space="preserve"> ТОГУЧИНСКИЙ   </t>
  </si>
  <si>
    <t xml:space="preserve"> УБИНСКИЙ      </t>
  </si>
  <si>
    <t xml:space="preserve"> УСТЬ-ТАРКСКИЙ  </t>
  </si>
  <si>
    <t xml:space="preserve"> ЧАНОВСКИЙ     </t>
  </si>
  <si>
    <t xml:space="preserve"> ЧЕРЕПАНОВСКИЙ </t>
  </si>
  <si>
    <t xml:space="preserve"> ЧИСТООЗЕРНЫЙ  </t>
  </si>
  <si>
    <t xml:space="preserve"> ЧУЛЫМСКИЙ     </t>
  </si>
  <si>
    <t>г. Обь</t>
  </si>
  <si>
    <t>г. Бердск</t>
  </si>
  <si>
    <t>г. Искитим</t>
  </si>
  <si>
    <t>г. Новосибирск</t>
  </si>
  <si>
    <t>Прочие затраты</t>
  </si>
  <si>
    <t>Проектно-изыск. раб.</t>
  </si>
  <si>
    <t>безопасность движен.</t>
  </si>
  <si>
    <t>инвентаризация  а/д</t>
  </si>
  <si>
    <t>И Т О Г О:</t>
  </si>
  <si>
    <t>НИОКР</t>
  </si>
  <si>
    <t>Спецсклад</t>
  </si>
  <si>
    <t>ВСЕГО:</t>
  </si>
  <si>
    <t>мосты</t>
  </si>
  <si>
    <t>км</t>
  </si>
  <si>
    <t>п.м.</t>
  </si>
  <si>
    <t>Район области, адрес объекта</t>
  </si>
  <si>
    <t>тип покры-тия</t>
  </si>
  <si>
    <t>ввод мостов</t>
  </si>
  <si>
    <t>мощ-ность</t>
  </si>
  <si>
    <t>бюджетные ассигнования на региональные объекты</t>
  </si>
  <si>
    <t>бюджетные ассигнования на межмуниципальные объекты</t>
  </si>
  <si>
    <t>тыс. руб.</t>
  </si>
  <si>
    <t>щеб.</t>
  </si>
  <si>
    <t>Венгеровский</t>
  </si>
  <si>
    <t>m</t>
  </si>
  <si>
    <t>фб</t>
  </si>
  <si>
    <t>мостовой переход ч/р Омь на 36 км а/д "Чаны-Венгерово-Кыштовка"</t>
  </si>
  <si>
    <t>Искитимский</t>
  </si>
  <si>
    <t>асф.бет.</t>
  </si>
  <si>
    <t>Краснозерский</t>
  </si>
  <si>
    <t>Новосибирский</t>
  </si>
  <si>
    <t>d</t>
  </si>
  <si>
    <t>Автомобильная дорога IV класса от территориальной трассы К 17-р (п.Черновка, Кочковский район, НСО) до площадки строительства молочной фермы</t>
  </si>
  <si>
    <t>а/д "Советское  шоссе"</t>
  </si>
  <si>
    <t xml:space="preserve">а/д "Подъездные автомобильные дороги в промышленно-логистическом парке Новосибирской области" </t>
  </si>
  <si>
    <t>Ордынский</t>
  </si>
  <si>
    <t>Усть-Таркский</t>
  </si>
  <si>
    <t>Всего по районам</t>
  </si>
  <si>
    <t>кроме того:</t>
  </si>
  <si>
    <t xml:space="preserve">Прочие  затраты </t>
  </si>
  <si>
    <t>ИТОГО  по  СТРОИТЕЛЬСТВУ</t>
  </si>
  <si>
    <t>а/д</t>
  </si>
  <si>
    <r>
      <t>мостовой переход ч/р Орда на 104 км а/д "Новосибирск - Кочки - Павлодар (в пред. РФ</t>
    </r>
    <r>
      <rPr>
        <sz val="9"/>
        <rFont val="Times New Roman"/>
        <family val="1"/>
      </rPr>
      <t xml:space="preserve">)" </t>
    </r>
  </si>
  <si>
    <t>мост ч/р Кама на 1 км а/д "5 км а/д "Н-1433" - Михайловка - 2-я"</t>
  </si>
  <si>
    <t>мост ч/р Межовка на 76 км а/д "155 км а/д "К-02" - Межовка-гр. Северного района"</t>
  </si>
  <si>
    <t>мостовой переход ч/р Каракан на 8 км а/д "70км а/д "Н-2407"- Преображенка" (в гр. Сузунского района) (с. Татчиха)</t>
  </si>
  <si>
    <t>а/д "Новосибирск - Ленинск-Кузнецкий"</t>
  </si>
  <si>
    <t>а/д "Новосибирск - Ленинск-Кузнецкий (в границах НСО)" (выборочно)</t>
  </si>
  <si>
    <t xml:space="preserve">а/д "Новосибирск - Ленинск-Кузнецкий (в границах НСО)" </t>
  </si>
  <si>
    <t>Обустройство остановочных площадок</t>
  </si>
  <si>
    <t>а/д «Лесная Поляна - Сартаково» в Коченёвском районе Новосибирской области</t>
  </si>
  <si>
    <t xml:space="preserve">а/д "118 км а/д "К-17р"-Камень-на-Оби" на участке Кирза - гр.Алтайского края. </t>
  </si>
  <si>
    <t>а/д "3 км а/д "К-32"- Михайловка - гр. Алтайского кр."</t>
  </si>
  <si>
    <t>2013 год (прогноз)</t>
  </si>
  <si>
    <t>L=132,55</t>
  </si>
  <si>
    <t>а/д "Верх-Ики-Новососедово"</t>
  </si>
  <si>
    <t>а/д "Новосибирск - Ленинск-Кузнецкий (в границах НСО)" (поверхностная обработка)</t>
  </si>
  <si>
    <t>а/д "Новосибирск -  Кочки - Павлодар (в пред. РФ)" (поверхностная обработка)</t>
  </si>
  <si>
    <t>а/д "Новосибирск - Колывань -Томск (в границах НСО)" (поверхностная обработка)</t>
  </si>
  <si>
    <t>а/д "Куйбышев - Северное" (поверхностная обработка)</t>
  </si>
  <si>
    <t>а/д "Чаны - Венгерово - Кыштовка" (поверхностная обработка)</t>
  </si>
  <si>
    <t>а/д "Новоозерный-Красномайский-Чик"</t>
  </si>
  <si>
    <t>L=88,25</t>
  </si>
  <si>
    <t>№      п.п.</t>
  </si>
  <si>
    <t>Коды бюджетной классификации</t>
  </si>
  <si>
    <t>Наименование   статей</t>
  </si>
  <si>
    <t>Рз/Прз</t>
  </si>
  <si>
    <t>Цс</t>
  </si>
  <si>
    <t>Вид</t>
  </si>
  <si>
    <t>РАСХОДЫ - всего</t>
  </si>
  <si>
    <t>а/д "992 км а/д "М-51" - Купино - Карасук" (выборочно)</t>
  </si>
  <si>
    <t>0409</t>
  </si>
  <si>
    <t>003</t>
  </si>
  <si>
    <t>Ремонт  автомобильных дорог общего пользования и сооружений на них</t>
  </si>
  <si>
    <t>в т.ч. кредиторская задолженность</t>
  </si>
  <si>
    <t>Содержание автомобильных дорог общего пользования и сооружений на них</t>
  </si>
  <si>
    <t>1.4.</t>
  </si>
  <si>
    <t>Субсидии на объекты дорожной инфраструктуры, отнесенные к муниципальной собственности</t>
  </si>
  <si>
    <t>1.4.3</t>
  </si>
  <si>
    <t>1102</t>
  </si>
  <si>
    <t>3150211</t>
  </si>
  <si>
    <t>010</t>
  </si>
  <si>
    <t>Субсидии областного бюджета на объекты дорожной инфраструктуры, находящиеся в муниципальной собственности</t>
  </si>
  <si>
    <t>1.4.4</t>
  </si>
  <si>
    <t>3150214</t>
  </si>
  <si>
    <t>Субсидии областного бюджета на объекты дорожной инфраструктуры, находящиеся в муниципальной собственности, в рамках социального развития села</t>
  </si>
  <si>
    <t>_________________</t>
  </si>
  <si>
    <t>Строительство и реконструкция, ремонт и содержание, в том числе:</t>
  </si>
  <si>
    <t>Строительство и реконструкция автомобильных дорог и дорожных сооружений общего пользования</t>
  </si>
  <si>
    <t xml:space="preserve">к Закону Новосибирской области "Об областном бюджете Новосибирской области на 2012 год и плановый период 2013 и 2014 годов" </t>
  </si>
  <si>
    <t>Распределение ассигнований из областного бюджета на дорожно-строительные работы в Новосибирской области по направлениям использования на 2012 год</t>
  </si>
  <si>
    <t>1.1.3</t>
  </si>
  <si>
    <t>5225800</t>
  </si>
  <si>
    <t>Долосрочная целевая программа "Развитие промышленно-логистического парка на территории Новосибирской области на 2011-2015 годы"</t>
  </si>
  <si>
    <t>797</t>
  </si>
  <si>
    <t>Строительство автомобильной дороги «7 км а/д «Н-0426» - животноводческий комплекс» в Болотнинском районе Новосибирской области.</t>
  </si>
  <si>
    <t xml:space="preserve">а/д "Тогучин - Степногутово"   </t>
  </si>
  <si>
    <t xml:space="preserve">к Закону Новосибирской области "Об областном бюджете                                                                                                 Новосибирской области на 2012 год и плановый период 2013 и 2014 годов" </t>
  </si>
  <si>
    <t>Распределение ассигнований из областного бюджета на дорожно-строительные работы в Новосибирской области по направлениям использования на 2012 год и плановый период 2013 и 2014 годов</t>
  </si>
  <si>
    <t>2012 год (утверждено законом № 169-ОЗ)</t>
  </si>
  <si>
    <t>Долгосрочная целевая программа "Повышение безопасности дорожного движения и пассажирских перевозок на автомобильных дорогах Новосибирской области в 2011-2014 годах"</t>
  </si>
  <si>
    <t>2014 год (прогноз)</t>
  </si>
  <si>
    <t>км/пог. м.</t>
  </si>
  <si>
    <t>Баганский</t>
  </si>
  <si>
    <t>а/д "217 км а/д "К-01" - Мироновка"</t>
  </si>
  <si>
    <t>Барабинский</t>
  </si>
  <si>
    <t>капремонт водопропускных труб</t>
  </si>
  <si>
    <t>а/д "1152 км а/д "М-51" - Таскаево - Бакмасиха"</t>
  </si>
  <si>
    <t>а/д "Здвинск - Барабинск"</t>
  </si>
  <si>
    <t>Болотнинский</t>
  </si>
  <si>
    <t xml:space="preserve">капремонт водопропускных труб </t>
  </si>
  <si>
    <t>а/д "Болотное - Зудово - Козловка"</t>
  </si>
  <si>
    <t>мост ч/р Кама на 2 км а/д "Подъезд к с. Чистое озеро /8 км/"</t>
  </si>
  <si>
    <t>а/д " 99 км а/д "К-02" - Павлово"</t>
  </si>
  <si>
    <t>Здвинский</t>
  </si>
  <si>
    <t xml:space="preserve">а/д "Здвинск - 154 км а/д "К-01" </t>
  </si>
  <si>
    <t>а/д "Здвинск-В.Урюм-Лянино-Мамон"</t>
  </si>
  <si>
    <t>а/д "14 км а/д "К-05" - Петраки - Городище"</t>
  </si>
  <si>
    <t>мост ч/р Каргат на 1 км а/д "Здвинск-157 км а/д "К-01"</t>
  </si>
  <si>
    <t>мост ч/р Мильтюш на 2 км а/д "22 км а/д "К-13" - Улыбино"</t>
  </si>
  <si>
    <t>L=36,6</t>
  </si>
  <si>
    <t>мост ч/р Бол. Елбаш на 12 км а/д "28 км а/д "Н-0804"-Китерня"</t>
  </si>
  <si>
    <t>L=9,1</t>
  </si>
  <si>
    <t>Карасукский</t>
  </si>
  <si>
    <t>асф. бет./ щеб.</t>
  </si>
  <si>
    <t>а/д "Чаны - Щеглово - Богдановка (в гр. района)"</t>
  </si>
  <si>
    <t>а/д  " 371 км а/д "К-17р" - Калиновка"</t>
  </si>
  <si>
    <t>а/д "992 км а/д "М-51" - Купино - Карасук"</t>
  </si>
  <si>
    <t>а/д "232 км а/д "К-01" - Благодатное - Шилово-Курья - 377 км а/д "К-17р"</t>
  </si>
  <si>
    <t>мост через протоку на 6 км а/д "371 км а/д "К-17р" - Калиновка"</t>
  </si>
  <si>
    <t>Каргатский</t>
  </si>
  <si>
    <t>мост ч/р Сума на 64 км а/д "203 км а/д"К-17р"-Каргат"</t>
  </si>
  <si>
    <t>L=58,5</t>
  </si>
  <si>
    <t>а/д "93км а/д "К-09" - Первотроицк"</t>
  </si>
  <si>
    <t>а/д "70 км а/д "К-12" - Пихтовка - Пономаревка"</t>
  </si>
  <si>
    <t>а/д "47 км а/д "К-12" - Аэропорт"</t>
  </si>
  <si>
    <t>а/д "Новосибирск - Колывань -Томск (в границах НСО)"</t>
  </si>
  <si>
    <t>Коченевский</t>
  </si>
  <si>
    <t>Кочковский</t>
  </si>
  <si>
    <t>мост ч/р Карасук на 5 км а/д "178 км а/д "К-17р" - Быструха"</t>
  </si>
  <si>
    <t>а/д "2км а/д "К-17рп4"- Веселовское - Лотошное - Новопокровский"</t>
  </si>
  <si>
    <t>а/д "332 км а/д "К-17р" -  ст.Зубково"</t>
  </si>
  <si>
    <t>а/д "Краснозерское - Половинное"</t>
  </si>
  <si>
    <t>Куйбышевский</t>
  </si>
  <si>
    <t>а/д "Куйбышев - Чумаково - Балман"</t>
  </si>
  <si>
    <t>а/д "33 км а/д "Н-1408" - Новокиевка"</t>
  </si>
  <si>
    <t>L=34,2</t>
  </si>
  <si>
    <t>мост ч/р Омь на 2 км а/д "66 км а/д "Н-1408"-Ушково-Михайловка"</t>
  </si>
  <si>
    <t>мост ч/р Ича на 16 км а/д "Верх-Ича - Ярково"</t>
  </si>
  <si>
    <t>L=28,2</t>
  </si>
  <si>
    <t>Купинский</t>
  </si>
  <si>
    <t>а/д "56 км а/д "Н-3118" - Чаинка - Тюменка"</t>
  </si>
  <si>
    <t>Кыштовский</t>
  </si>
  <si>
    <t>мост ч/р Титовка на 26 км а/д "Кыштовка-Орловка"</t>
  </si>
  <si>
    <t>мост ч/р Чека на 10 км а/д "8 км а/д"Н-1702"-Новоложниково"</t>
  </si>
  <si>
    <t>L=15</t>
  </si>
  <si>
    <t>а/д "156 км а/д "К-02" - Межовка - гр. Северного района"</t>
  </si>
  <si>
    <t>щеб</t>
  </si>
  <si>
    <t>Маслянинский</t>
  </si>
  <si>
    <t>мост ч/р Стреленка на 59 км а/д "105 км а/д "М-52" - Черепаново-Маслянино"</t>
  </si>
  <si>
    <t>а/д "80 км а/д "К-21" - Александровка - Верх-Ики"</t>
  </si>
  <si>
    <t>а/д "127км а/д "К-19р" - Дубровка - Маслянино"</t>
  </si>
  <si>
    <t>Мошковский</t>
  </si>
  <si>
    <t>а/д "82 км а/д "М-53" - Станционно-Ояшинский - Кайлы"</t>
  </si>
  <si>
    <t>а/д "Новосибирск - Ленинск-Кузнецкий (в границах НСО)"</t>
  </si>
  <si>
    <t>а/д "Чингис - Нижнекаменка - Завъялово"</t>
  </si>
  <si>
    <t>Северный</t>
  </si>
  <si>
    <t>а/д "Куйбышев - Северное"</t>
  </si>
  <si>
    <t>а/д "Северное - Биаза - гр. Кыштовского района"</t>
  </si>
  <si>
    <t>а/д "75 км а/д "К-04"-Федоровка"</t>
  </si>
  <si>
    <t>Сузунский</t>
  </si>
  <si>
    <t>а/д "Сузун - Битки - Преображенка - 18 км а/д "К-13" (в гр. района)"</t>
  </si>
  <si>
    <t>а/д "22км а/д "Н-2407"-Бобровка-Шайдурово-Чингис (в гр.Сузунского района)"</t>
  </si>
  <si>
    <t>а/д "8 км а/д "Н-2404" - Красный Камешок - Ключики"</t>
  </si>
  <si>
    <t>Татарский</t>
  </si>
  <si>
    <t xml:space="preserve">Распределение ассигнований на капитальный ремонт автомобильных дорог и дорожных сооружений Новосибирской области на на плановый период 2013 и 2014 годов </t>
  </si>
  <si>
    <t>а/д "4 км а/д "К-01" - Новомихайловка"</t>
  </si>
  <si>
    <t>Тогучинский</t>
  </si>
  <si>
    <t>а/д "130 км а/д "М-53"-Тогучин-Карпысак"</t>
  </si>
  <si>
    <t>L=14</t>
  </si>
  <si>
    <t>Убинский</t>
  </si>
  <si>
    <t>мост ч/р Карапуз на 23 км а/д "1193 км а/д "М-51" - Николаевка- 2-я - Новый Карапуз"</t>
  </si>
  <si>
    <t>а/д "Убинское - Кундран"</t>
  </si>
  <si>
    <t>а/д "19 км а/д "Н-2702" - Черный Мыс"</t>
  </si>
  <si>
    <t>Чановский</t>
  </si>
  <si>
    <t>а/д "Чаны - Венгерово - Кыштовка"</t>
  </si>
  <si>
    <t>а/д "1047 км а/д "М-51" - Блюдчанское  - Черниговка - Блюдцы"</t>
  </si>
  <si>
    <t>Черепановский</t>
  </si>
  <si>
    <t>мост ч/р Тальменка на 6 км а/д "Черепаново-Листвянка"</t>
  </si>
  <si>
    <t>а/д "Новосибирск  - аэропорт Толмачево"</t>
  </si>
  <si>
    <t>мост ч/р Иня на 1 км а/д "13км а/д "К-14"-Карагужево"</t>
  </si>
  <si>
    <t>а/д "Кольцово - Академгородок"</t>
  </si>
  <si>
    <t xml:space="preserve">а/д "21 км а/д "К-15" - Медведское - Листвянский" </t>
  </si>
  <si>
    <t>а/д "9 км а/д "К-14" - Верх-Мильтюши - Куриловка"</t>
  </si>
  <si>
    <t>Чистоозерный</t>
  </si>
  <si>
    <t>а/д "29 км а/д "Н-3104" - Новый Кошкуль"</t>
  </si>
  <si>
    <t>а/д "Песчаное Озеро - Старый Кошкуль (в гр. района)"</t>
  </si>
  <si>
    <t>Чулымский</t>
  </si>
  <si>
    <t>а/д "Чулым-Большеникольское"</t>
  </si>
  <si>
    <t>мост ч/р ручей на 18 км а/д "14 км а/д "Н-3203" -Сарыкамышка"</t>
  </si>
  <si>
    <t>кроме того</t>
  </si>
  <si>
    <t>Прочие  затраты</t>
  </si>
  <si>
    <t>Капремонт+ремонт</t>
  </si>
  <si>
    <t>ремонт</t>
  </si>
  <si>
    <t>бюджет 2011 изменения (ремонт и капремонт)</t>
  </si>
  <si>
    <t>ИТОГО  по КАПИТАЛЬНОМУ   РЕМОНТУ</t>
  </si>
  <si>
    <t>межмуниципальные объекты</t>
  </si>
  <si>
    <t>а/д "130 км а/д "М-53" - Тогучин - Карпысак"</t>
  </si>
  <si>
    <t xml:space="preserve">а/д "103 км а/д "М-53" - Новобибеево" (выборочно) </t>
  </si>
  <si>
    <t>а/д "Баган - Палецкое - Кучугур (в гр. района)"</t>
  </si>
  <si>
    <t xml:space="preserve">а/д "Чаны - Венгерово - Кыштовка" </t>
  </si>
  <si>
    <t>Доволенский</t>
  </si>
  <si>
    <t>а/д "Здвинск-Довольное-а/д "К-09"</t>
  </si>
  <si>
    <t>а/д "14 км а/д "Н-0601" - Ильинка - Дружный"</t>
  </si>
  <si>
    <t>а/д "235 км а/д "К-17р" - Согорное  (в гр. района)"</t>
  </si>
  <si>
    <t>а/д "54 км а/д "М-52"  - Завьялово - Факел Революции"</t>
  </si>
  <si>
    <t>а/д "Искитим - Верх-Коен - Михайловка"</t>
  </si>
  <si>
    <t>а/д "388 км а/д "К-17р" - Калачи - Октябрьское - гр. Казахстана"</t>
  </si>
  <si>
    <t xml:space="preserve">а/д "Новосибирск-Кочки-Павлодар (в пред. РФ) "      </t>
  </si>
  <si>
    <t>а/д "349 км а/д "К-17р" - Ирбизино - Кукарка"</t>
  </si>
  <si>
    <t>а/д "203 км а/д "К-17р" - Каргат" (выборочно)</t>
  </si>
  <si>
    <t>а/д "1408 км а/д "М-51" - Крутологово"</t>
  </si>
  <si>
    <t>а/д "182 км а/д "К-17р" -  Республиканский"</t>
  </si>
  <si>
    <t>а/д "Новосибирск-Кочки-Павлодар (в пред. РФ)"</t>
  </si>
  <si>
    <t>а/д "Объездная дорога с. Кочки"</t>
  </si>
  <si>
    <t>а/д "5 км а/д "К-10" - санаторий"</t>
  </si>
  <si>
    <t>ремонт водопропускных труб</t>
  </si>
  <si>
    <t>а/д "296 км а/д "К-17р" - Полойка - Травное - Довольное (в гр. района)"</t>
  </si>
  <si>
    <t>а/д "105 км а/д "М-52" - Черепаново -  Маслянино"</t>
  </si>
  <si>
    <t>а/д "60 км а/д "М-53" - Мошково - Белоярка"</t>
  </si>
  <si>
    <t xml:space="preserve">а/д "Новосибирск - Кочки - Павлодар (в пред.РФ)"  </t>
  </si>
  <si>
    <t>а/д "1 км а/д "Н-2123" - Верх-Тула -  Ленинское-ОБЬГЭС"</t>
  </si>
  <si>
    <t>кредиторская задолженность</t>
  </si>
  <si>
    <t xml:space="preserve">а/д "Новосибирск - Кочки - Павлодар (в пред.РФ)"       </t>
  </si>
  <si>
    <t>а/д "6 км "Н-2203"-Малоирменка-Верх-Чик"</t>
  </si>
  <si>
    <t>а/д "105 км а/д "М-52"-Сузун"</t>
  </si>
  <si>
    <t xml:space="preserve">Северный </t>
  </si>
  <si>
    <t>а/д "992 км а/д "М-51"-Купино-Карасук" (выборочно)</t>
  </si>
  <si>
    <t>а/д "Татарск - Зубовка"</t>
  </si>
  <si>
    <t>а/д "109 км а/д "К-16" - Буготак - Репьево"</t>
  </si>
  <si>
    <t>а/д "Куйбышев - Венгерово - гр. Омской области
(старый Московский тракт)"</t>
  </si>
  <si>
    <t>а/д "17 км а/д "Н-2910" - Новофеклино - Таган"</t>
  </si>
  <si>
    <t>а/д "105 км а/д "М-52" - Черепаново - Маслянино"</t>
  </si>
  <si>
    <t>а/д "50 км а/д "Н-3209" - Осиновский - Сидоркино"</t>
  </si>
  <si>
    <t>а/д "1337 км а/д "М-51" - Кузнецкий"</t>
  </si>
  <si>
    <t>Кредиторская задолженность</t>
  </si>
  <si>
    <t>ИТОГО  по  РЕМОНТУ</t>
  </si>
  <si>
    <r>
      <t xml:space="preserve">Прогнозные </t>
    </r>
    <r>
      <rPr>
        <sz val="10"/>
        <color indexed="10"/>
        <rFont val="Arial Cyr"/>
        <family val="0"/>
      </rPr>
      <t xml:space="preserve">Индексы-дифляторы Минэкономразвития </t>
    </r>
    <r>
      <rPr>
        <b/>
        <sz val="10"/>
        <color indexed="10"/>
        <rFont val="Arial Cyr"/>
        <family val="0"/>
      </rPr>
      <t xml:space="preserve"> </t>
    </r>
  </si>
  <si>
    <r>
      <t xml:space="preserve"> </t>
    </r>
    <r>
      <rPr>
        <sz val="8"/>
        <color indexed="9"/>
        <rFont val="Arial Cyr"/>
        <family val="0"/>
      </rPr>
      <t>/</t>
    </r>
    <r>
      <rPr>
        <sz val="8"/>
        <rFont val="Arial Cyr"/>
        <family val="0"/>
      </rPr>
      <t>(7,1%)</t>
    </r>
  </si>
  <si>
    <r>
      <t xml:space="preserve"> </t>
    </r>
    <r>
      <rPr>
        <sz val="8"/>
        <color indexed="9"/>
        <rFont val="Arial Cyr"/>
        <family val="0"/>
      </rPr>
      <t>/</t>
    </r>
    <r>
      <rPr>
        <sz val="8"/>
        <rFont val="Arial Cyr"/>
        <family val="0"/>
      </rPr>
      <t>(7,6%)</t>
    </r>
  </si>
  <si>
    <r>
      <t xml:space="preserve"> </t>
    </r>
    <r>
      <rPr>
        <sz val="10"/>
        <color indexed="9"/>
        <rFont val="Arial Cyr"/>
        <family val="0"/>
      </rPr>
      <t>/</t>
    </r>
    <r>
      <rPr>
        <sz val="10"/>
        <rFont val="Arial Cyr"/>
        <family val="0"/>
      </rPr>
      <t>(8,0%)</t>
    </r>
  </si>
  <si>
    <t>а/д "Болотное - Большая Черная"</t>
  </si>
  <si>
    <t>а/д "97 км а/д "К-19р" - Лебедево"</t>
  </si>
  <si>
    <t>а/д "36 км а/д "К-19р" - Шмаково - Репьево"</t>
  </si>
  <si>
    <t xml:space="preserve"> </t>
  </si>
  <si>
    <t>а/д "60 км а/д "К-09" - Довольное"</t>
  </si>
  <si>
    <t xml:space="preserve">ремонт водопропускной трубы на а/д "46 км а/д "М-52" - Сосновка" </t>
  </si>
  <si>
    <t xml:space="preserve">а/д "46 км а/д "М-52" - Сосновка" </t>
  </si>
  <si>
    <t>цем. бет./щеб.</t>
  </si>
  <si>
    <t>асф.бет./щеб.</t>
  </si>
  <si>
    <t>субсидии из федерального бюджета</t>
  </si>
  <si>
    <t>Реконструкция автомобильной дороги «332км а/д «К-17р»-ст.Зубково» в Краснозёрском районе Новосибирской области</t>
  </si>
  <si>
    <t>5226300</t>
  </si>
  <si>
    <t>Обеспечение деятельности подведомственных учреждений</t>
  </si>
  <si>
    <t>Долгосрочная целевая программа "Развитие автомобильных дорог в Новосибирской области на 2011-2014 годы"   Строительство и реконструкция   автомобильных  дорог  и  дорожных  сооружений  общего пользования</t>
  </si>
  <si>
    <t>Долгосрочная целевая программа "Развитие автомобильных дорог в Новосибирской области на 2011-2014 годы"    Капитальный ремонт автомобильных дорог  и  дорожных сооружений  общего пользования</t>
  </si>
  <si>
    <t xml:space="preserve">Долгосрочная целевая программа "Развитие автомобильных дорог в Новосибирской области на 2011-2014 годы"      Выполнение работ по инвентаризации и паспортизации автомобильных дорог и дорожных сооружений на них </t>
  </si>
  <si>
    <t>Долгосрочная целевая программа "Развитие автомобильных дорог в Новосибирской области на 2011-2014 годы"        Планово-предупредительный ремонт автомобильных дорог общего пользования и сооружений на них</t>
  </si>
  <si>
    <t>Долгосрочная целевая программа "Развитие автомобильных дорог в Новосибирской области на 2011-2014 годы"        Содержание  автомобильных  дорог  и  дорожных  сооружений</t>
  </si>
  <si>
    <t>Долгосрочная целевая программа "Развитие автомобильных дорог в Новосибирской области на 2011-2014 годы"      Содержание  базы  материалов  2-й  группы</t>
  </si>
  <si>
    <t>Подпрограмма "Автомобильные дороги" федеральной целевой программы "Развитие транспортной системы России (2010-2015 годы)"</t>
  </si>
  <si>
    <t xml:space="preserve">Долгосрочная целевая программа "Развитие автомобильных дорог в Новосибирской области на 2011-2014 годы"                        Ремонт автомобильных дорог и дорожных сооружений общего пользования </t>
  </si>
  <si>
    <t>Долгосрочная целевая программа "Развитие автомобильных дорог в Новосибирской области на 2011-2014 годы"                           Резерв средств</t>
  </si>
  <si>
    <t xml:space="preserve">Долгосрочная целевая программа "Развитие автомобильных дорог в Новосибирской области на 2011-2014 годы"                                                                                            НИОКР для нужд дорожно-строительного комплекса </t>
  </si>
  <si>
    <t>Долгосрочная целевая программа "Развитие автомобильных дорог в Новосибирской области на 2011-2014 годы"                                                                              Проектно-сметная документация для нужд дорожно-строительного комплекса</t>
  </si>
  <si>
    <t xml:space="preserve">Реконструкция автомобильной дороги "34 км а/д "Н-0101" - Богатиха" в Барабинском районе Новосибирской области          </t>
  </si>
  <si>
    <t>Реконструкция автомобильной дороги "59 км а/д "Н-3118 - Михайловка" в Купинском районе Новосибирской области</t>
  </si>
  <si>
    <t>Реконструкция автомобильной дороги "Северное - Биаза - гр. Кыштовского района" в Северном районе Новосибирской области</t>
  </si>
  <si>
    <t>Реконструкция автомобильной дороги "Сузун - Мереть" в Сузунском районе Новосибирской области</t>
  </si>
  <si>
    <t xml:space="preserve"> а/д "13 км а/д "Н-1103"-свиноводческий комплекс" </t>
  </si>
  <si>
    <t>Долгосрочная целевая программа "Создание научно-технологического парка в сфере биотехнологий в наукограде Кольцово на 2011-2015 годы"</t>
  </si>
  <si>
    <t>1.2.3</t>
  </si>
  <si>
    <t xml:space="preserve"> 1.1</t>
  </si>
  <si>
    <t xml:space="preserve"> 1.1.1</t>
  </si>
  <si>
    <t xml:space="preserve"> 1.1.2</t>
  </si>
  <si>
    <t>1.2</t>
  </si>
  <si>
    <t xml:space="preserve"> 1.2.1</t>
  </si>
  <si>
    <t>1.2.2</t>
  </si>
  <si>
    <t>5225700</t>
  </si>
  <si>
    <t>1.2.4</t>
  </si>
  <si>
    <t>1.2.5</t>
  </si>
  <si>
    <t>1.2.6</t>
  </si>
  <si>
    <t>1.2.7</t>
  </si>
  <si>
    <t>1.3</t>
  </si>
  <si>
    <t>1.3.1</t>
  </si>
  <si>
    <t>1.3.2</t>
  </si>
  <si>
    <t>рост</t>
  </si>
  <si>
    <t>Реконструкция автомобильной дороги "19 км а/д "К-01" - Николаевка" в Татарском районе Новосибирской области</t>
  </si>
  <si>
    <t>Реконструкция автомобильной дороги "91 км а/д "К-16" - Изынский" в Тогучинском районе Новосибирской области</t>
  </si>
  <si>
    <t>Реконструкция автомобильной дороги "39 км а/д "Н-3108" - Варваровка" в Чистоозерном районе Новосибирской области</t>
  </si>
  <si>
    <t>Распределение ассигнований из областного бюджета на строительство и реконструкцию автомобильных дорог и дорожных сооружений  Новосибирской области на 2012 год и на плановый период 2013 и 2014 годов</t>
  </si>
  <si>
    <t>а/д "32 км а/д "Н-2504" - Новотроицк - Никулино"</t>
  </si>
  <si>
    <t>Реконструкция автомобильной дороги "37 км а/д "К-09" - Озерки 6-е" в Каргатском районе Новосибирской области</t>
  </si>
  <si>
    <t>а/д "Куликовское - Пенек"</t>
  </si>
  <si>
    <t>а/д "24 км а/д "Н-2802"-Новоникольск"</t>
  </si>
  <si>
    <t>мост ч/р Суенга на 1 км а/д "67 км а/д "К-21" - Егорьевское"</t>
  </si>
  <si>
    <t>капитальный ремонт водопропускной трубы на а/д "30 км а/д "Н-1706" - Бочкаревка"</t>
  </si>
  <si>
    <t>капитальный ремонт водопропускной трубы на а/д "155 км а/д "К-02" - Сергеевка - Воскресенка"</t>
  </si>
  <si>
    <t>капитальный ремонт водопропускной трубы на а/д "Кыштовка - Малокрасноярка"</t>
  </si>
  <si>
    <t>капитальный ремонт водопропускной трубы на а/д "155 км а/д "К-02" - Межовка-гр. Северного р-на"</t>
  </si>
  <si>
    <t>а/д "7 км а/д "Н-0804" - Усть-Чем - 49 км а/д "Н-0812""</t>
  </si>
  <si>
    <t>Колыванский</t>
  </si>
  <si>
    <t xml:space="preserve">а/д "Куйбышев - Северное" </t>
  </si>
  <si>
    <t xml:space="preserve">а/д "992 км а/д "М-51" - Купино - Карасук" </t>
  </si>
  <si>
    <t xml:space="preserve">а/д "992 км а/д "М-51 - Купино - Карасук" </t>
  </si>
  <si>
    <t>1008103</t>
  </si>
  <si>
    <t>а/д "203 км а/д "К-17р"-Каргат"</t>
  </si>
  <si>
    <t>2012 год (утверждено законом 169-ОЗ)</t>
  </si>
  <si>
    <t xml:space="preserve">Распределение ассигнований на капитальный ремонт автомобильных дорог и дорожных сооружений Новосибирской области на 2012 год </t>
  </si>
  <si>
    <t xml:space="preserve">Распределение ассигнований на ремонт автомобильных дорог и дорожных сооружений Новосибирской области в 2012 году </t>
  </si>
  <si>
    <t>капремонт водопропускной трубы на а/д "232 км а/д "К-01" - Благодатное - Шилово-Курья - 377 км а/д "К-17р"</t>
  </si>
  <si>
    <t xml:space="preserve">ремонт водопропускных труб </t>
  </si>
  <si>
    <t>2шт</t>
  </si>
  <si>
    <t>9шт</t>
  </si>
  <si>
    <t>1шт</t>
  </si>
  <si>
    <t>4шт</t>
  </si>
  <si>
    <t>7шт</t>
  </si>
  <si>
    <t>13 шт</t>
  </si>
  <si>
    <t>10 шт</t>
  </si>
  <si>
    <t>капремонт</t>
  </si>
  <si>
    <t>опорная сеть</t>
  </si>
  <si>
    <t xml:space="preserve">а/д «Новосибирск-Кочки-Павлодар (в пред. РФ)»  </t>
  </si>
  <si>
    <t xml:space="preserve">а/д «130 км а/д «М-53»-Тогучин-Карпысак»  </t>
  </si>
  <si>
    <t xml:space="preserve">а/д «203 км а/д «К-17р»-Каргат»   </t>
  </si>
  <si>
    <t xml:space="preserve">а/д «992 км а/д «М-51» - Купино-Карасук» </t>
  </si>
  <si>
    <t>межмуниципальная сеть</t>
  </si>
  <si>
    <t>5222500</t>
  </si>
  <si>
    <t>по направлениям использования в разрезе территорий на 2013 год</t>
  </si>
  <si>
    <t xml:space="preserve">ВСЕГО на 2013 год                                                                  </t>
  </si>
  <si>
    <t>субсидии из фед бюджета</t>
  </si>
  <si>
    <t>расходы на  управление  дорожным  хозяйством</t>
  </si>
  <si>
    <t>2012 год (проект)</t>
  </si>
  <si>
    <t>Реконструкция автомобильной дороги "1 км а/д "Н-0202" - Славянка - Нижний Баган - 11 км а/д "Н-0202" в Баганском районе Новосибирской области</t>
  </si>
  <si>
    <t xml:space="preserve">Реконструкция автомобильной дороги "41 км а/д "Н-0206"- Красный Остров" в Баганском районе Новосибирской области      </t>
  </si>
  <si>
    <t>Реконструкция автомобильной дороги "18 км а/д "Н-0202" - Александро-Невский" в Баганском районе Новосибирской области</t>
  </si>
  <si>
    <t>Реконструкция автомобильной дороги "Болотное - Зудово - Козловка" в Болотнинском районе Новосибирской области</t>
  </si>
  <si>
    <t>Реконструкция автомобильной дороги "131 км а/д "К-22" - Игнатьевка" в Венгеровсом районе Новосибирской области</t>
  </si>
  <si>
    <t>Реконструкция автомобильной дороги "106 км а/д "К-07" - Индерь (центр. усадьба)" в Доволенском районе Новосибирской области</t>
  </si>
  <si>
    <t>Реконструкция а/д "22 км а/д "К-08" - Сарыбалык - Даниловская Ферма" в Доволенском районе НСО</t>
  </si>
  <si>
    <t>Реконструкция автомобильной дороги "296 км а/д "К-17р" - Полойка - Травное - Довольное (в гр. района)" в Доволенском районе Новосибирской области</t>
  </si>
  <si>
    <t>Реконструкция автомобильной дороги "3 км а/д "Н-0702" - Новогребенщиково" в Здвинском районе Новосибирской области</t>
  </si>
  <si>
    <t>Реконструкция автомобильной дороги "9 км а/д "Н-0903" - Теренино" в Каргатском районе Новосибирской области</t>
  </si>
  <si>
    <t xml:space="preserve">Реконструкция автомобильной дороги "244 км а/д "К-01" - Ягодный" в Карасукском районе Новосибирской области            </t>
  </si>
  <si>
    <t>Реконструкция автомобильной дороги "17 км а/д "Н-1206" - Майский - Козлово - Маслово" в Коченевском районе Новосибирской области</t>
  </si>
  <si>
    <t>Реконструкция автомобильной дороги "8 км а/д Н-1203 - Семеновский" в Коченевском районе Новосибирской области</t>
  </si>
  <si>
    <t>мостовой переход ч/р Карасук на 4 км а/д "Краснозерское - Половинное"</t>
  </si>
  <si>
    <t>L=105,2</t>
  </si>
  <si>
    <t xml:space="preserve">Реконструкция автомобильной дороги "24 км а/д "Н-1408" - Бурундуково" в Куйбышевском районе Новосибирской области        </t>
  </si>
  <si>
    <t>Реконструкция автомобильной дороги " Медяково - Веселый Кут" в Купинском районе Новосибирской области</t>
  </si>
  <si>
    <t>Реконструкция автомобильной дороги "19 км а/д "Н-1606"- Медяково - Благовещенка" в Купинском районе Новосибирской области</t>
  </si>
  <si>
    <t>Реконструкция автомобильной дороги "Кыштовка - Малокрасноярка" в Кыштовском районе Новосибирской области</t>
  </si>
  <si>
    <t>Реконструкция автомобильной дороги "7 км а/д "Н-1204" - Новоотрубное" в Коченевском районе Новосибирской области</t>
  </si>
  <si>
    <t xml:space="preserve">Строительство автомобильной дороги "31 км а/д "Н-1509" - Ульяновка" в Краснозерском районе Новосибирской области </t>
  </si>
  <si>
    <t>Строительство автомобильной дороги "50 км а/д "К-01" - Табулгинский" в Чистоозерном районе Новосибирской области</t>
  </si>
  <si>
    <t>Распределение ассигнований из областного бюджета на строительство и реконструкцию автомобильных дорог и дорожных сооружений  Новосибирской области на  плановый период 2013 и 2014 годов</t>
  </si>
  <si>
    <t>а/д "79 км а/д "К-04"-Федоровка"</t>
  </si>
  <si>
    <t xml:space="preserve">а/д"103 км а/д "К-17р" - Петровский - Большеникольское -Чулым (в гр. района)"                  </t>
  </si>
  <si>
    <t>Распределение ассигнований на ремонт автомобильных дорог и дорожных сооружений Новосибирской области на плановый периоде 2013 и 2014 годов</t>
  </si>
  <si>
    <t>а/д "65 км а/д "К-30" - Осиновский - Сидоркино"</t>
  </si>
  <si>
    <t>а/д "7 км а/д "Н-0804" - Усть-Чем - 49 км а/д "К-28"</t>
  </si>
  <si>
    <t xml:space="preserve">путепровод через ж.д пути ст. Барабинск на а/д "Барабинск-Куйбышев" (подходы) </t>
  </si>
  <si>
    <t>Реконструкция автомобильной дороги "Кыштовка - Орловка" в Кыштовском районе Новосибирской области</t>
  </si>
  <si>
    <t>а/д "1432 км а/д "М-51" Промышленно-логистический парк"</t>
  </si>
  <si>
    <t>цем. бет.</t>
  </si>
  <si>
    <t>а/д "1448 км а/д "М-51"-Толмачево"</t>
  </si>
  <si>
    <t>а/д "Автомобильная дорога "Барышево - Орловка - Кольцово" с автодорожным тоннелем под железной дорогой"</t>
  </si>
  <si>
    <t xml:space="preserve">а/д "118км а/д "К-17р"-Камень-на-Оби" на участке Кирза - гр.Алтайского края. </t>
  </si>
  <si>
    <t>Реконструкция автомобильной дороги "34 км а/д "К-18р" -  Антоново" в Ордынском районе Новосибирской области</t>
  </si>
  <si>
    <t>L=18,5     L=54,6</t>
  </si>
  <si>
    <t>Реконструкция автомобильной дороги "Козловка - Малый Ермак" в Татарском районе Новосибирской области</t>
  </si>
  <si>
    <t>Реконструкция автомобильной дороги "4 км а/д "Н-2702" - Владимировское - Ксеньевка" в Убинском районе Новосибирской области</t>
  </si>
  <si>
    <t>Реконструкция автомобильной дороги "165 км а/д "К-22" - Камышево" в Усть-Таркском Новосибирской области</t>
  </si>
  <si>
    <t xml:space="preserve"> а/д "Украинка - Семеновский"</t>
  </si>
  <si>
    <t>Реконструкция автомобильной дороги "27 км а/д "Н-3108" - Павловка - Мироновка - Мухино" в Чистоозерном районе Новосибирской области</t>
  </si>
  <si>
    <r>
      <t>Реконструкция автомобильной дороги "194 км а/д "К-22"</t>
    </r>
    <r>
      <rPr>
        <sz val="13"/>
        <rFont val="Times New Roman Cyr"/>
        <family val="1"/>
      </rPr>
      <t xml:space="preserve"> -</t>
    </r>
    <r>
      <rPr>
        <sz val="10"/>
        <rFont val="Times New Roman Cyr"/>
        <family val="0"/>
      </rPr>
      <t xml:space="preserve"> Козино" в Усть-Таркском районе Новосибирской области</t>
    </r>
  </si>
  <si>
    <t>а/д "Куйбышев - Северное" (выборочно)</t>
  </si>
  <si>
    <t>а/д "Новосибирск - Ленинск-Кузнецкий (в гр. НСО)"</t>
  </si>
  <si>
    <t>мост ч/р Межовка на 78 км а/д "155 км а/д "К-02" - Межовка-гр. Северного района"</t>
  </si>
  <si>
    <t>тыс. рублей</t>
  </si>
  <si>
    <t>3159900</t>
  </si>
  <si>
    <t xml:space="preserve">а/д "М-51 - Каргат (западный)"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</si>
</sst>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#,##0.0"/>
    <numFmt numFmtId="166" formatCode="0.000_)"/>
    <numFmt numFmtId="167" formatCode="0.0"/>
    <numFmt numFmtId="168" formatCode="#,##0.000"/>
    <numFmt numFmtId="169" formatCode="#,##0_);\(#,##0\)"/>
    <numFmt numFmtId="170" formatCode="0_)"/>
    <numFmt numFmtId="171" formatCode="#,##0.0_);\(#,##0.0\)"/>
    <numFmt numFmtId="172" formatCode="0.0%"/>
    <numFmt numFmtId="173" formatCode="#,##0.0_р_."/>
    <numFmt numFmtId="174" formatCode="#,##0_р_."/>
    <numFmt numFmtId="175" formatCode="_-* #,##0\ _р_._-;\-* #,##0\ _р_._-;_-* &quot;-&quot;\ _р_._-;_-@_-"/>
    <numFmt numFmtId="176" formatCode="000"/>
    <numFmt numFmtId="177" formatCode="000;[Red]\-000;&quot;&quot;"/>
    <numFmt numFmtId="178" formatCode="00;[Red]\-00;&quot;&quot;"/>
    <numFmt numFmtId="179" formatCode="0000000;[Red]\-0000000;&quot;&quot;"/>
    <numFmt numFmtId="180" formatCode="#,##0.00;[Red]\-#,##0.00;0.00"/>
    <numFmt numFmtId="181" formatCode="#,##0.00;[Red]\-#,##0.00;&quot; &quot;"/>
    <numFmt numFmtId="182" formatCode="00\.00\.0"/>
    <numFmt numFmtId="183" formatCode="0000"/>
    <numFmt numFmtId="184" formatCode="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0.00_)"/>
    <numFmt numFmtId="191" formatCode="#,##0.0000"/>
    <numFmt numFmtId="192" formatCode="0.0000_)"/>
    <numFmt numFmtId="193" formatCode="_-* #,##0.0_р_._-;\-* #,##0.0_р_._-;_-* &quot;-&quot;??_р_._-;_-@_-"/>
    <numFmt numFmtId="194" formatCode="#,##0.00000"/>
    <numFmt numFmtId="195" formatCode="_-* #,##0.0_р_._-;\-* #,##0.0_р_._-;_-* &quot;-&quot;?_р_._-;_-@_-"/>
    <numFmt numFmtId="196" formatCode="0.000"/>
    <numFmt numFmtId="197" formatCode="#,##0.0_ ;\-#,##0.0\ "/>
    <numFmt numFmtId="198" formatCode="#,##0.0;[Red]\-#,##0.0"/>
    <numFmt numFmtId="199" formatCode="0\.0\.0"/>
    <numFmt numFmtId="200" formatCode="0\.0"/>
    <numFmt numFmtId="201" formatCode="00.00.00"/>
    <numFmt numFmtId="202" formatCode="[$-FC19]d\ mmmm\ yyyy\ &quot;г.&quot;"/>
  </numFmts>
  <fonts count="8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sz val="10"/>
      <color indexed="8"/>
      <name val="Times New Roman CE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 CE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4"/>
      <name val="Times New Roman CE"/>
      <family val="0"/>
    </font>
    <font>
      <sz val="9"/>
      <color indexed="8"/>
      <name val="Times New Roman CE"/>
      <family val="1"/>
    </font>
    <font>
      <b/>
      <sz val="11"/>
      <color indexed="8"/>
      <name val="Times New Roman CE"/>
      <family val="1"/>
    </font>
    <font>
      <sz val="9"/>
      <name val="Times New Roman Cyr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12"/>
      <name val="Times New Roman"/>
      <family val="1"/>
    </font>
    <font>
      <sz val="7"/>
      <color indexed="8"/>
      <name val="Times New Roman CE"/>
      <family val="1"/>
    </font>
    <font>
      <b/>
      <sz val="9"/>
      <name val="Times New Roman Cyr"/>
      <family val="0"/>
    </font>
    <font>
      <sz val="10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0"/>
      <name val="Arial Cyr"/>
      <family val="0"/>
    </font>
    <font>
      <i/>
      <sz val="13"/>
      <name val="Times New Roman"/>
      <family val="1"/>
    </font>
    <font>
      <b/>
      <sz val="7"/>
      <color indexed="8"/>
      <name val="Times New Roman CE"/>
      <family val="1"/>
    </font>
    <font>
      <sz val="9"/>
      <name val="Times New Roman CE"/>
      <family val="0"/>
    </font>
    <font>
      <b/>
      <sz val="11"/>
      <name val="Times New Roman CE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7"/>
      <name val="Times New Roman CE"/>
      <family val="1"/>
    </font>
    <font>
      <sz val="10"/>
      <color indexed="8"/>
      <name val="Times New Roman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1"/>
    </font>
    <font>
      <b/>
      <sz val="10"/>
      <color indexed="10"/>
      <name val="Arial Cyr"/>
      <family val="0"/>
    </font>
    <font>
      <sz val="8"/>
      <color indexed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9"/>
      <color indexed="1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57"/>
      <name val="Times New Roman CE"/>
      <family val="0"/>
    </font>
    <font>
      <b/>
      <sz val="8"/>
      <color indexed="57"/>
      <name val="Times New Roman CE"/>
      <family val="0"/>
    </font>
    <font>
      <sz val="8"/>
      <color indexed="57"/>
      <name val="Times New Roman CE"/>
      <family val="0"/>
    </font>
    <font>
      <sz val="8"/>
      <color indexed="10"/>
      <name val="Times New Roman CE"/>
      <family val="0"/>
    </font>
    <font>
      <sz val="10"/>
      <color indexed="57"/>
      <name val="Times New Roman CE"/>
      <family val="1"/>
    </font>
    <font>
      <sz val="12"/>
      <color indexed="10"/>
      <name val="Arial Cyr"/>
      <family val="0"/>
    </font>
    <font>
      <b/>
      <sz val="12"/>
      <color indexed="8"/>
      <name val="Times New Roman CE"/>
      <family val="1"/>
    </font>
    <font>
      <sz val="9"/>
      <name val="Tahoma"/>
      <family val="0"/>
    </font>
    <font>
      <b/>
      <sz val="9"/>
      <name val="Tahoma"/>
      <family val="0"/>
    </font>
    <font>
      <sz val="13"/>
      <name val="Times New Roman Cyr"/>
      <family val="1"/>
    </font>
    <font>
      <sz val="11"/>
      <name val="Times New Roman"/>
      <family val="1"/>
    </font>
    <font>
      <sz val="11"/>
      <name val="Helv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/>
      <bottom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8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6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16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" borderId="0" applyNumberFormat="0" applyBorder="0" applyAlignment="0" applyProtection="0"/>
  </cellStyleXfs>
  <cellXfs count="1016">
    <xf numFmtId="0" fontId="0" fillId="0" borderId="0" xfId="0" applyAlignment="1">
      <alignment/>
    </xf>
    <xf numFmtId="165" fontId="13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5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6" xfId="0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164" fontId="13" fillId="0" borderId="20" xfId="0" applyNumberFormat="1" applyFont="1" applyFill="1" applyBorder="1" applyAlignment="1" applyProtection="1">
      <alignment horizontal="center" vertical="center"/>
      <protection/>
    </xf>
    <xf numFmtId="170" fontId="13" fillId="0" borderId="21" xfId="0" applyNumberFormat="1" applyFont="1" applyFill="1" applyBorder="1" applyAlignment="1" applyProtection="1">
      <alignment horizontal="center" vertical="center"/>
      <protection/>
    </xf>
    <xf numFmtId="165" fontId="13" fillId="0" borderId="21" xfId="0" applyNumberFormat="1" applyFont="1" applyFill="1" applyBorder="1" applyAlignment="1" applyProtection="1">
      <alignment horizontal="center" vertical="center"/>
      <protection/>
    </xf>
    <xf numFmtId="165" fontId="13" fillId="0" borderId="22" xfId="0" applyNumberFormat="1" applyFont="1" applyFill="1" applyBorder="1" applyAlignment="1" applyProtection="1">
      <alignment horizontal="center" vertical="center"/>
      <protection/>
    </xf>
    <xf numFmtId="165" fontId="13" fillId="0" borderId="20" xfId="0" applyNumberFormat="1" applyFont="1" applyFill="1" applyBorder="1" applyAlignment="1" applyProtection="1">
      <alignment horizontal="center" vertical="center"/>
      <protection/>
    </xf>
    <xf numFmtId="165" fontId="13" fillId="0" borderId="23" xfId="0" applyNumberFormat="1" applyFont="1" applyFill="1" applyBorder="1" applyAlignment="1" applyProtection="1">
      <alignment horizontal="center" vertical="center"/>
      <protection/>
    </xf>
    <xf numFmtId="165" fontId="13" fillId="0" borderId="24" xfId="0" applyNumberFormat="1" applyFont="1" applyFill="1" applyBorder="1" applyAlignment="1" applyProtection="1">
      <alignment horizontal="center" vertical="center"/>
      <protection/>
    </xf>
    <xf numFmtId="165" fontId="13" fillId="0" borderId="19" xfId="0" applyNumberFormat="1" applyFont="1" applyFill="1" applyBorder="1" applyAlignment="1" applyProtection="1">
      <alignment horizontal="center" vertical="center"/>
      <protection/>
    </xf>
    <xf numFmtId="165" fontId="7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170" fontId="13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4" fontId="13" fillId="0" borderId="28" xfId="0" applyNumberFormat="1" applyFont="1" applyFill="1" applyBorder="1" applyAlignment="1" applyProtection="1">
      <alignment horizontal="center" vertical="center"/>
      <protection/>
    </xf>
    <xf numFmtId="165" fontId="13" fillId="0" borderId="25" xfId="0" applyNumberFormat="1" applyFont="1" applyFill="1" applyBorder="1" applyAlignment="1" applyProtection="1">
      <alignment horizontal="center" vertical="center"/>
      <protection/>
    </xf>
    <xf numFmtId="165" fontId="13" fillId="0" borderId="29" xfId="0" applyNumberFormat="1" applyFont="1" applyFill="1" applyBorder="1" applyAlignment="1" applyProtection="1">
      <alignment horizontal="center" vertical="center"/>
      <protection/>
    </xf>
    <xf numFmtId="165" fontId="13" fillId="0" borderId="30" xfId="0" applyNumberFormat="1" applyFont="1" applyFill="1" applyBorder="1" applyAlignment="1" applyProtection="1">
      <alignment horizontal="center" vertical="center"/>
      <protection/>
    </xf>
    <xf numFmtId="165" fontId="13" fillId="0" borderId="31" xfId="0" applyNumberFormat="1" applyFont="1" applyFill="1" applyBorder="1" applyAlignment="1" applyProtection="1">
      <alignment horizontal="center" vertical="center"/>
      <protection/>
    </xf>
    <xf numFmtId="165" fontId="13" fillId="0" borderId="32" xfId="0" applyNumberFormat="1" applyFont="1" applyFill="1" applyBorder="1" applyAlignment="1" applyProtection="1">
      <alignment horizontal="center" vertical="center"/>
      <protection/>
    </xf>
    <xf numFmtId="165" fontId="13" fillId="0" borderId="28" xfId="0" applyNumberFormat="1" applyFont="1" applyFill="1" applyBorder="1" applyAlignment="1" applyProtection="1">
      <alignment horizontal="center" vertical="center"/>
      <protection/>
    </xf>
    <xf numFmtId="164" fontId="13" fillId="0" borderId="31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3" fontId="13" fillId="0" borderId="25" xfId="0" applyNumberFormat="1" applyFont="1" applyFill="1" applyBorder="1" applyAlignment="1" applyProtection="1">
      <alignment horizontal="center" vertical="center"/>
      <protection/>
    </xf>
    <xf numFmtId="3" fontId="13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4" fontId="13" fillId="0" borderId="25" xfId="0" applyNumberFormat="1" applyFont="1" applyFill="1" applyBorder="1" applyAlignment="1" applyProtection="1">
      <alignment horizontal="center" vertical="center"/>
      <protection/>
    </xf>
    <xf numFmtId="3" fontId="13" fillId="0" borderId="33" xfId="0" applyNumberFormat="1" applyFont="1" applyFill="1" applyBorder="1" applyAlignment="1" applyProtection="1">
      <alignment horizontal="center" vertical="center"/>
      <protection/>
    </xf>
    <xf numFmtId="165" fontId="7" fillId="0" borderId="34" xfId="0" applyNumberFormat="1" applyFont="1" applyFill="1" applyBorder="1" applyAlignment="1" applyProtection="1">
      <alignment horizontal="center" vertical="center"/>
      <protection/>
    </xf>
    <xf numFmtId="165" fontId="7" fillId="0" borderId="35" xfId="0" applyNumberFormat="1" applyFont="1" applyFill="1" applyBorder="1" applyAlignment="1" applyProtection="1">
      <alignment horizontal="center" vertical="center"/>
      <protection/>
    </xf>
    <xf numFmtId="165" fontId="7" fillId="0" borderId="36" xfId="0" applyNumberFormat="1" applyFont="1" applyFill="1" applyBorder="1" applyAlignment="1" applyProtection="1">
      <alignment horizontal="center" vertical="center"/>
      <protection/>
    </xf>
    <xf numFmtId="165" fontId="13" fillId="0" borderId="37" xfId="0" applyNumberFormat="1" applyFont="1" applyFill="1" applyBorder="1" applyAlignment="1" applyProtection="1">
      <alignment horizontal="center" vertical="center"/>
      <protection/>
    </xf>
    <xf numFmtId="165" fontId="13" fillId="0" borderId="38" xfId="0" applyNumberFormat="1" applyFont="1" applyFill="1" applyBorder="1" applyAlignment="1" applyProtection="1">
      <alignment horizontal="center" vertical="center"/>
      <protection/>
    </xf>
    <xf numFmtId="165" fontId="13" fillId="0" borderId="39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5" fontId="7" fillId="0" borderId="4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5" fontId="13" fillId="0" borderId="41" xfId="0" applyNumberFormat="1" applyFont="1" applyFill="1" applyBorder="1" applyAlignment="1" applyProtection="1">
      <alignment horizontal="center" vertical="center"/>
      <protection/>
    </xf>
    <xf numFmtId="165" fontId="13" fillId="0" borderId="42" xfId="0" applyNumberFormat="1" applyFont="1" applyFill="1" applyBorder="1" applyAlignment="1" applyProtection="1">
      <alignment horizontal="center" vertical="center"/>
      <protection/>
    </xf>
    <xf numFmtId="165" fontId="13" fillId="0" borderId="43" xfId="0" applyNumberFormat="1" applyFont="1" applyFill="1" applyBorder="1" applyAlignment="1" applyProtection="1">
      <alignment horizontal="center" vertical="center"/>
      <protection/>
    </xf>
    <xf numFmtId="164" fontId="13" fillId="0" borderId="44" xfId="0" applyNumberFormat="1" applyFont="1" applyFill="1" applyBorder="1" applyAlignment="1" applyProtection="1">
      <alignment horizontal="center" vertical="center"/>
      <protection/>
    </xf>
    <xf numFmtId="165" fontId="5" fillId="0" borderId="44" xfId="0" applyNumberFormat="1" applyFont="1" applyFill="1" applyBorder="1" applyAlignment="1">
      <alignment horizontal="center" vertical="center" wrapText="1"/>
    </xf>
    <xf numFmtId="165" fontId="5" fillId="0" borderId="45" xfId="0" applyNumberFormat="1" applyFont="1" applyFill="1" applyBorder="1" applyAlignment="1">
      <alignment horizontal="center" vertic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165" fontId="13" fillId="0" borderId="46" xfId="0" applyNumberFormat="1" applyFont="1" applyFill="1" applyBorder="1" applyAlignment="1" applyProtection="1">
      <alignment horizontal="center" vertical="center"/>
      <protection/>
    </xf>
    <xf numFmtId="165" fontId="5" fillId="0" borderId="31" xfId="0" applyNumberFormat="1" applyFont="1" applyFill="1" applyBorder="1" applyAlignment="1">
      <alignment horizontal="center" vertical="center"/>
    </xf>
    <xf numFmtId="165" fontId="5" fillId="0" borderId="2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left" vertical="center"/>
      <protection/>
    </xf>
    <xf numFmtId="165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1" fillId="0" borderId="0" xfId="63" applyFont="1" applyFill="1" applyAlignment="1">
      <alignment horizontal="right" vertical="top"/>
      <protection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0" fontId="21" fillId="0" borderId="0" xfId="63" applyFont="1" applyFill="1" applyAlignment="1">
      <alignment horizontal="right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7" xfId="0" applyFill="1" applyBorder="1" applyAlignment="1">
      <alignment/>
    </xf>
    <xf numFmtId="0" fontId="24" fillId="0" borderId="11" xfId="0" applyFont="1" applyFill="1" applyBorder="1" applyAlignment="1" applyProtection="1">
      <alignment vertical="center" wrapText="1"/>
      <protection/>
    </xf>
    <xf numFmtId="165" fontId="9" fillId="0" borderId="11" xfId="0" applyNumberFormat="1" applyFont="1" applyFill="1" applyBorder="1" applyAlignment="1" applyProtection="1">
      <alignment horizontal="center" vertical="center"/>
      <protection/>
    </xf>
    <xf numFmtId="165" fontId="9" fillId="0" borderId="11" xfId="0" applyNumberFormat="1" applyFont="1" applyFill="1" applyBorder="1" applyAlignment="1" applyProtection="1">
      <alignment horizontal="center" vertical="center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5" fontId="12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5" fontId="12" fillId="0" borderId="12" xfId="0" applyNumberFormat="1" applyFont="1" applyFill="1" applyBorder="1" applyAlignment="1" applyProtection="1">
      <alignment horizontal="center" vertical="center"/>
      <protection/>
    </xf>
    <xf numFmtId="165" fontId="12" fillId="0" borderId="47" xfId="0" applyNumberFormat="1" applyFont="1" applyFill="1" applyBorder="1" applyAlignment="1" applyProtection="1">
      <alignment horizontal="center" vertical="center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3" fontId="29" fillId="0" borderId="47" xfId="0" applyNumberFormat="1" applyFont="1" applyFill="1" applyBorder="1" applyAlignment="1">
      <alignment horizontal="center" vertical="center" wrapText="1"/>
    </xf>
    <xf numFmtId="165" fontId="29" fillId="0" borderId="4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justify" vertical="center" wrapText="1"/>
    </xf>
    <xf numFmtId="164" fontId="31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65" fontId="13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5" fontId="13" fillId="0" borderId="47" xfId="0" applyNumberFormat="1" applyFont="1" applyFill="1" applyBorder="1" applyAlignment="1" applyProtection="1">
      <alignment horizontal="center" vertical="center"/>
      <protection/>
    </xf>
    <xf numFmtId="165" fontId="12" fillId="0" borderId="39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65" fontId="28" fillId="0" borderId="12" xfId="0" applyNumberFormat="1" applyFont="1" applyFill="1" applyBorder="1" applyAlignment="1" applyProtection="1">
      <alignment horizontal="center" vertical="center" wrapText="1"/>
      <protection/>
    </xf>
    <xf numFmtId="165" fontId="9" fillId="0" borderId="18" xfId="0" applyNumberFormat="1" applyFont="1" applyFill="1" applyBorder="1" applyAlignment="1" applyProtection="1">
      <alignment horizontal="center" vertical="center"/>
      <protection/>
    </xf>
    <xf numFmtId="165" fontId="9" fillId="0" borderId="10" xfId="0" applyNumberFormat="1" applyFont="1" applyFill="1" applyBorder="1" applyAlignment="1" applyProtection="1">
      <alignment horizontal="center" vertical="center"/>
      <protection/>
    </xf>
    <xf numFmtId="165" fontId="1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48" xfId="0" applyNumberFormat="1" applyFont="1" applyFill="1" applyBorder="1" applyAlignment="1" applyProtection="1">
      <alignment horizontal="center" vertical="center"/>
      <protection/>
    </xf>
    <xf numFmtId="165" fontId="9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0" fillId="0" borderId="49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165" fontId="41" fillId="0" borderId="5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65" fontId="41" fillId="0" borderId="11" xfId="0" applyNumberFormat="1" applyFont="1" applyFill="1" applyBorder="1" applyAlignment="1">
      <alignment horizontal="center" vertical="center"/>
    </xf>
    <xf numFmtId="16" fontId="41" fillId="0" borderId="11" xfId="0" applyNumberFormat="1" applyFont="1" applyFill="1" applyBorder="1" applyAlignment="1">
      <alignment horizontal="center" vertical="center"/>
    </xf>
    <xf numFmtId="165" fontId="41" fillId="0" borderId="11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49" fontId="38" fillId="0" borderId="48" xfId="0" applyNumberFormat="1" applyFont="1" applyFill="1" applyBorder="1" applyAlignment="1">
      <alignment horizontal="center" vertical="center"/>
    </xf>
    <xf numFmtId="165" fontId="40" fillId="0" borderId="10" xfId="0" applyNumberFormat="1" applyFont="1" applyFill="1" applyBorder="1" applyAlignment="1">
      <alignment horizontal="center" vertical="center"/>
    </xf>
    <xf numFmtId="165" fontId="40" fillId="0" borderId="11" xfId="0" applyNumberFormat="1" applyFont="1" applyFill="1" applyBorder="1" applyAlignment="1">
      <alignment horizontal="center" vertical="center"/>
    </xf>
    <xf numFmtId="165" fontId="40" fillId="0" borderId="47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165" fontId="41" fillId="0" borderId="18" xfId="0" applyNumberFormat="1" applyFont="1" applyFill="1" applyBorder="1" applyAlignment="1">
      <alignment horizontal="center" vertical="center"/>
    </xf>
    <xf numFmtId="49" fontId="36" fillId="0" borderId="52" xfId="0" applyNumberFormat="1" applyFont="1" applyBorder="1" applyAlignment="1">
      <alignment horizontal="center" vertical="center"/>
    </xf>
    <xf numFmtId="49" fontId="30" fillId="0" borderId="52" xfId="0" applyNumberFormat="1" applyFont="1" applyBorder="1" applyAlignment="1">
      <alignment horizontal="center" vertical="center"/>
    </xf>
    <xf numFmtId="49" fontId="30" fillId="0" borderId="52" xfId="0" applyNumberFormat="1" applyFont="1" applyFill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/>
    </xf>
    <xf numFmtId="165" fontId="41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39" fillId="0" borderId="53" xfId="0" applyNumberFormat="1" applyFont="1" applyFill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65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165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vertical="center" wrapText="1"/>
      <protection/>
    </xf>
    <xf numFmtId="165" fontId="12" fillId="0" borderId="47" xfId="0" applyNumberFormat="1" applyFont="1" applyFill="1" applyBorder="1" applyAlignment="1" applyProtection="1">
      <alignment horizontal="center" vertical="center" wrapText="1"/>
      <protection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165" fontId="12" fillId="0" borderId="39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/>
    </xf>
    <xf numFmtId="165" fontId="12" fillId="0" borderId="12" xfId="0" applyNumberFormat="1" applyFont="1" applyFill="1" applyBorder="1" applyAlignment="1" applyProtection="1">
      <alignment horizontal="center" vertical="center"/>
      <protection/>
    </xf>
    <xf numFmtId="165" fontId="12" fillId="0" borderId="19" xfId="0" applyNumberFormat="1" applyFont="1" applyFill="1" applyBorder="1" applyAlignment="1" applyProtection="1">
      <alignment horizontal="center" vertical="center"/>
      <protection/>
    </xf>
    <xf numFmtId="165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vertical="center"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/>
    </xf>
    <xf numFmtId="0" fontId="45" fillId="0" borderId="47" xfId="0" applyFont="1" applyFill="1" applyBorder="1" applyAlignment="1" applyProtection="1">
      <alignment vertical="center" wrapText="1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 applyProtection="1">
      <alignment horizontal="center" vertical="center"/>
      <protection/>
    </xf>
    <xf numFmtId="165" fontId="12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39" xfId="0" applyFont="1" applyFill="1" applyBorder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vertical="center" wrapText="1"/>
      <protection/>
    </xf>
    <xf numFmtId="165" fontId="12" fillId="0" borderId="54" xfId="0" applyNumberFormat="1" applyFont="1" applyFill="1" applyBorder="1" applyAlignment="1" applyProtection="1">
      <alignment horizontal="center" vertical="center"/>
      <protection/>
    </xf>
    <xf numFmtId="165" fontId="12" fillId="0" borderId="47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>
      <alignment/>
    </xf>
    <xf numFmtId="165" fontId="12" fillId="0" borderId="26" xfId="0" applyNumberFormat="1" applyFont="1" applyFill="1" applyBorder="1" applyAlignment="1" applyProtection="1">
      <alignment horizontal="center" vertical="center" wrapText="1"/>
      <protection/>
    </xf>
    <xf numFmtId="165" fontId="9" fillId="0" borderId="40" xfId="0" applyNumberFormat="1" applyFont="1" applyFill="1" applyBorder="1" applyAlignment="1" applyProtection="1">
      <alignment horizontal="center" vertical="center"/>
      <protection/>
    </xf>
    <xf numFmtId="165" fontId="12" fillId="0" borderId="55" xfId="0" applyNumberFormat="1" applyFont="1" applyFill="1" applyBorder="1" applyAlignment="1" applyProtection="1">
      <alignment horizontal="center" vertical="center"/>
      <protection/>
    </xf>
    <xf numFmtId="165" fontId="12" fillId="0" borderId="26" xfId="0" applyNumberFormat="1" applyFont="1" applyFill="1" applyBorder="1" applyAlignment="1" applyProtection="1">
      <alignment horizontal="center" vertical="center"/>
      <protection/>
    </xf>
    <xf numFmtId="165" fontId="9" fillId="0" borderId="26" xfId="0" applyNumberFormat="1" applyFont="1" applyFill="1" applyBorder="1" applyAlignment="1" applyProtection="1">
      <alignment horizontal="center" vertical="center"/>
      <protection/>
    </xf>
    <xf numFmtId="165" fontId="12" fillId="0" borderId="54" xfId="0" applyNumberFormat="1" applyFont="1" applyFill="1" applyBorder="1" applyAlignment="1" applyProtection="1">
      <alignment horizontal="center" vertical="center"/>
      <protection/>
    </xf>
    <xf numFmtId="165" fontId="9" fillId="0" borderId="54" xfId="0" applyNumberFormat="1" applyFont="1" applyFill="1" applyBorder="1" applyAlignment="1" applyProtection="1">
      <alignment horizontal="center" vertical="center"/>
      <protection/>
    </xf>
    <xf numFmtId="165" fontId="9" fillId="0" borderId="19" xfId="0" applyNumberFormat="1" applyFont="1" applyFill="1" applyBorder="1" applyAlignment="1" applyProtection="1">
      <alignment horizontal="center" vertical="center"/>
      <protection/>
    </xf>
    <xf numFmtId="165" fontId="12" fillId="0" borderId="19" xfId="0" applyNumberFormat="1" applyFont="1" applyFill="1" applyBorder="1" applyAlignment="1" applyProtection="1">
      <alignment horizontal="center" vertical="center"/>
      <protection/>
    </xf>
    <xf numFmtId="165" fontId="23" fillId="0" borderId="10" xfId="0" applyNumberFormat="1" applyFont="1" applyFill="1" applyBorder="1" applyAlignment="1" applyProtection="1">
      <alignment horizontal="center" vertical="center"/>
      <protection/>
    </xf>
    <xf numFmtId="165" fontId="23" fillId="0" borderId="12" xfId="0" applyNumberFormat="1" applyFont="1" applyFill="1" applyBorder="1" applyAlignment="1" applyProtection="1">
      <alignment horizontal="center" vertical="center"/>
      <protection/>
    </xf>
    <xf numFmtId="165" fontId="23" fillId="0" borderId="12" xfId="0" applyNumberFormat="1" applyFont="1" applyFill="1" applyBorder="1" applyAlignment="1" applyProtection="1">
      <alignment horizontal="center" vertical="center"/>
      <protection/>
    </xf>
    <xf numFmtId="165" fontId="10" fillId="0" borderId="12" xfId="0" applyNumberFormat="1" applyFont="1" applyFill="1" applyBorder="1" applyAlignment="1" applyProtection="1">
      <alignment horizontal="center" vertical="center"/>
      <protection/>
    </xf>
    <xf numFmtId="165" fontId="23" fillId="0" borderId="47" xfId="0" applyNumberFormat="1" applyFont="1" applyFill="1" applyBorder="1" applyAlignment="1" applyProtection="1">
      <alignment horizontal="center" vertical="center"/>
      <protection/>
    </xf>
    <xf numFmtId="165" fontId="9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165" fontId="23" fillId="0" borderId="47" xfId="0" applyNumberFormat="1" applyFont="1" applyFill="1" applyBorder="1" applyAlignment="1" applyProtection="1">
      <alignment horizontal="center" vertical="center"/>
      <protection/>
    </xf>
    <xf numFmtId="165" fontId="49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2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5" fontId="10" fillId="0" borderId="10" xfId="0" applyNumberFormat="1" applyFont="1" applyFill="1" applyBorder="1" applyAlignment="1" applyProtection="1">
      <alignment horizontal="center" vertical="center"/>
      <protection/>
    </xf>
    <xf numFmtId="165" fontId="23" fillId="0" borderId="10" xfId="0" applyNumberFormat="1" applyFont="1" applyFill="1" applyBorder="1" applyAlignment="1" applyProtection="1">
      <alignment horizontal="center" vertical="center"/>
      <protection/>
    </xf>
    <xf numFmtId="165" fontId="10" fillId="0" borderId="10" xfId="0" applyNumberFormat="1" applyFont="1" applyFill="1" applyBorder="1" applyAlignment="1" applyProtection="1">
      <alignment horizontal="center" vertical="center"/>
      <protection/>
    </xf>
    <xf numFmtId="165" fontId="23" fillId="0" borderId="54" xfId="0" applyNumberFormat="1" applyFont="1" applyFill="1" applyBorder="1" applyAlignment="1" applyProtection="1">
      <alignment horizontal="center" vertical="center"/>
      <protection/>
    </xf>
    <xf numFmtId="165" fontId="23" fillId="0" borderId="18" xfId="0" applyNumberFormat="1" applyFont="1" applyFill="1" applyBorder="1" applyAlignment="1" applyProtection="1">
      <alignment horizontal="center" vertical="center"/>
      <protection/>
    </xf>
    <xf numFmtId="165" fontId="23" fillId="0" borderId="11" xfId="0" applyNumberFormat="1" applyFont="1" applyFill="1" applyBorder="1" applyAlignment="1" applyProtection="1">
      <alignment horizontal="center" vertical="center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5" fontId="23" fillId="0" borderId="18" xfId="0" applyNumberFormat="1" applyFont="1" applyFill="1" applyBorder="1" applyAlignment="1" applyProtection="1">
      <alignment horizontal="center" vertical="center"/>
      <protection/>
    </xf>
    <xf numFmtId="165" fontId="10" fillId="0" borderId="18" xfId="0" applyNumberFormat="1" applyFont="1" applyFill="1" applyBorder="1" applyAlignment="1" applyProtection="1">
      <alignment horizontal="center" vertical="center"/>
      <protection/>
    </xf>
    <xf numFmtId="165" fontId="10" fillId="0" borderId="12" xfId="0" applyNumberFormat="1" applyFont="1" applyFill="1" applyBorder="1" applyAlignment="1" applyProtection="1">
      <alignment horizontal="center" vertical="center"/>
      <protection/>
    </xf>
    <xf numFmtId="165" fontId="13" fillId="0" borderId="18" xfId="0" applyNumberFormat="1" applyFont="1" applyFill="1" applyBorder="1" applyAlignment="1" applyProtection="1">
      <alignment horizontal="center" vertical="center"/>
      <protection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165" fontId="45" fillId="0" borderId="12" xfId="0" applyNumberFormat="1" applyFont="1" applyFill="1" applyBorder="1" applyAlignment="1" applyProtection="1">
      <alignment horizontal="center" vertical="center"/>
      <protection/>
    </xf>
    <xf numFmtId="165" fontId="8" fillId="0" borderId="12" xfId="0" applyNumberFormat="1" applyFont="1" applyFill="1" applyBorder="1" applyAlignment="1" applyProtection="1">
      <alignment horizontal="center" vertical="center"/>
      <protection/>
    </xf>
    <xf numFmtId="165" fontId="8" fillId="0" borderId="47" xfId="0" applyNumberFormat="1" applyFont="1" applyFill="1" applyBorder="1" applyAlignment="1" applyProtection="1">
      <alignment horizontal="center" vertical="center"/>
      <protection/>
    </xf>
    <xf numFmtId="165" fontId="45" fillId="0" borderId="47" xfId="0" applyNumberFormat="1" applyFont="1" applyFill="1" applyBorder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165" fontId="2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165" fontId="29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4" fontId="49" fillId="0" borderId="17" xfId="0" applyNumberFormat="1" applyFont="1" applyFill="1" applyBorder="1" applyAlignment="1">
      <alignment horizontal="center" vertical="center"/>
    </xf>
    <xf numFmtId="165" fontId="5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65" fontId="61" fillId="0" borderId="12" xfId="0" applyNumberFormat="1" applyFont="1" applyFill="1" applyBorder="1" applyAlignment="1" applyProtection="1">
      <alignment horizontal="center" vertical="center"/>
      <protection/>
    </xf>
    <xf numFmtId="165" fontId="5" fillId="0" borderId="5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7" fillId="24" borderId="57" xfId="0" applyFont="1" applyFill="1" applyBorder="1" applyAlignment="1">
      <alignment horizontal="center" wrapText="1"/>
    </xf>
    <xf numFmtId="0" fontId="0" fillId="24" borderId="57" xfId="0" applyFill="1" applyBorder="1" applyAlignment="1">
      <alignment horizontal="center" vertical="center"/>
    </xf>
    <xf numFmtId="10" fontId="4" fillId="0" borderId="57" xfId="0" applyNumberFormat="1" applyFont="1" applyFill="1" applyBorder="1" applyAlignment="1">
      <alignment horizontal="center" vertical="center"/>
    </xf>
    <xf numFmtId="167" fontId="0" fillId="24" borderId="57" xfId="0" applyNumberFormat="1" applyFill="1" applyBorder="1" applyAlignment="1">
      <alignment horizontal="center" vertical="center"/>
    </xf>
    <xf numFmtId="9" fontId="0" fillId="0" borderId="57" xfId="0" applyNumberFormat="1" applyFill="1" applyBorder="1" applyAlignment="1">
      <alignment horizontal="center" vertical="center"/>
    </xf>
    <xf numFmtId="165" fontId="60" fillId="24" borderId="0" xfId="0" applyNumberFormat="1" applyFont="1" applyFill="1" applyAlignment="1">
      <alignment/>
    </xf>
    <xf numFmtId="165" fontId="80" fillId="0" borderId="47" xfId="0" applyNumberFormat="1" applyFont="1" applyFill="1" applyBorder="1" applyAlignment="1" applyProtection="1">
      <alignment horizontal="center" vertical="center"/>
      <protection/>
    </xf>
    <xf numFmtId="165" fontId="45" fillId="0" borderId="54" xfId="0" applyNumberFormat="1" applyFont="1" applyFill="1" applyBorder="1" applyAlignment="1" applyProtection="1">
      <alignment horizontal="center" vertical="center"/>
      <protection/>
    </xf>
    <xf numFmtId="165" fontId="81" fillId="0" borderId="0" xfId="0" applyNumberFormat="1" applyFont="1" applyFill="1" applyAlignment="1">
      <alignment/>
    </xf>
    <xf numFmtId="165" fontId="9" fillId="0" borderId="18" xfId="0" applyNumberFormat="1" applyFont="1" applyFill="1" applyBorder="1" applyAlignment="1" applyProtection="1">
      <alignment horizontal="center" vertical="center"/>
      <protection/>
    </xf>
    <xf numFmtId="165" fontId="10" fillId="0" borderId="39" xfId="0" applyNumberFormat="1" applyFont="1" applyFill="1" applyBorder="1" applyAlignment="1" applyProtection="1">
      <alignment horizontal="center" vertical="center"/>
      <protection/>
    </xf>
    <xf numFmtId="165" fontId="23" fillId="0" borderId="39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65" fontId="4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28" fillId="0" borderId="58" xfId="0" applyNumberFormat="1" applyFont="1" applyFill="1" applyBorder="1" applyAlignment="1" applyProtection="1">
      <alignment horizontal="center" vertical="center" wrapText="1"/>
      <protection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vertical="center" wrapText="1"/>
      <protection/>
    </xf>
    <xf numFmtId="165" fontId="12" fillId="0" borderId="47" xfId="0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165" fontId="6" fillId="0" borderId="12" xfId="0" applyNumberFormat="1" applyFont="1" applyFill="1" applyBorder="1" applyAlignment="1" applyProtection="1">
      <alignment horizontal="center" vertical="center"/>
      <protection/>
    </xf>
    <xf numFmtId="165" fontId="6" fillId="0" borderId="47" xfId="0" applyNumberFormat="1" applyFont="1" applyFill="1" applyBorder="1" applyAlignment="1" applyProtection="1">
      <alignment horizontal="center" vertical="center"/>
      <protection/>
    </xf>
    <xf numFmtId="165" fontId="1" fillId="0" borderId="47" xfId="0" applyNumberFormat="1" applyFill="1" applyBorder="1" applyAlignment="1">
      <alignment/>
    </xf>
    <xf numFmtId="165" fontId="6" fillId="0" borderId="47" xfId="0" applyNumberFormat="1" applyFont="1" applyFill="1" applyBorder="1" applyAlignment="1" applyProtection="1">
      <alignment horizontal="center" vertical="center"/>
      <protection/>
    </xf>
    <xf numFmtId="165" fontId="79" fillId="0" borderId="12" xfId="0" applyNumberFormat="1" applyFont="1" applyFill="1" applyBorder="1" applyAlignment="1" applyProtection="1">
      <alignment horizontal="center" vertical="center"/>
      <protection/>
    </xf>
    <xf numFmtId="165" fontId="6" fillId="0" borderId="12" xfId="0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center" vertical="center"/>
      <protection/>
    </xf>
    <xf numFmtId="165" fontId="11" fillId="0" borderId="10" xfId="0" applyNumberFormat="1" applyFont="1" applyFill="1" applyBorder="1" applyAlignment="1" applyProtection="1">
      <alignment horizontal="center" vertical="center"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  <xf numFmtId="165" fontId="45" fillId="0" borderId="18" xfId="0" applyNumberFormat="1" applyFont="1" applyFill="1" applyBorder="1" applyAlignment="1" applyProtection="1">
      <alignment horizontal="center" vertical="center"/>
      <protection/>
    </xf>
    <xf numFmtId="165" fontId="45" fillId="0" borderId="47" xfId="0" applyNumberFormat="1" applyFont="1" applyFill="1" applyBorder="1" applyAlignment="1" applyProtection="1">
      <alignment horizontal="center" vertical="center"/>
      <protection/>
    </xf>
    <xf numFmtId="165" fontId="45" fillId="0" borderId="10" xfId="0" applyNumberFormat="1" applyFont="1" applyFill="1" applyBorder="1" applyAlignment="1" applyProtection="1">
      <alignment horizontal="center" vertical="center"/>
      <protection/>
    </xf>
    <xf numFmtId="165" fontId="29" fillId="0" borderId="10" xfId="0" applyNumberFormat="1" applyFont="1" applyFill="1" applyBorder="1" applyAlignment="1" applyProtection="1">
      <alignment horizontal="center" vertical="center"/>
      <protection/>
    </xf>
    <xf numFmtId="165" fontId="80" fillId="0" borderId="10" xfId="0" applyNumberFormat="1" applyFont="1" applyFill="1" applyBorder="1" applyAlignment="1" applyProtection="1">
      <alignment horizontal="center" vertical="center"/>
      <protection/>
    </xf>
    <xf numFmtId="165" fontId="45" fillId="25" borderId="12" xfId="0" applyNumberFormat="1" applyFont="1" applyFill="1" applyBorder="1" applyAlignment="1" applyProtection="1">
      <alignment horizontal="center" vertical="center"/>
      <protection/>
    </xf>
    <xf numFmtId="165" fontId="45" fillId="0" borderId="12" xfId="0" applyNumberFormat="1" applyFont="1" applyFill="1" applyBorder="1" applyAlignment="1" applyProtection="1">
      <alignment horizontal="center" vertical="center" wrapText="1"/>
      <protection/>
    </xf>
    <xf numFmtId="165" fontId="13" fillId="0" borderId="59" xfId="0" applyNumberFormat="1" applyFont="1" applyFill="1" applyBorder="1" applyAlignment="1" applyProtection="1">
      <alignment horizontal="center" vertical="center"/>
      <protection/>
    </xf>
    <xf numFmtId="3" fontId="13" fillId="0" borderId="32" xfId="0" applyNumberFormat="1" applyFont="1" applyFill="1" applyBorder="1" applyAlignment="1" applyProtection="1">
      <alignment horizontal="center" vertical="center"/>
      <protection/>
    </xf>
    <xf numFmtId="165" fontId="13" fillId="0" borderId="60" xfId="0" applyNumberFormat="1" applyFont="1" applyFill="1" applyBorder="1" applyAlignment="1" applyProtection="1">
      <alignment horizontal="center" vertical="center"/>
      <protection/>
    </xf>
    <xf numFmtId="49" fontId="38" fillId="0" borderId="61" xfId="0" applyNumberFormat="1" applyFont="1" applyFill="1" applyBorder="1" applyAlignment="1">
      <alignment horizontal="center" vertical="center"/>
    </xf>
    <xf numFmtId="49" fontId="38" fillId="0" borderId="6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45" fillId="0" borderId="39" xfId="0" applyNumberFormat="1" applyFont="1" applyFill="1" applyBorder="1" applyAlignment="1" applyProtection="1">
      <alignment horizontal="center" vertical="center"/>
      <protection/>
    </xf>
    <xf numFmtId="165" fontId="45" fillId="0" borderId="39" xfId="0" applyNumberFormat="1" applyFont="1" applyFill="1" applyBorder="1" applyAlignment="1" applyProtection="1">
      <alignment horizontal="center" vertical="center"/>
      <protection/>
    </xf>
    <xf numFmtId="165" fontId="9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vertical="center" wrapText="1"/>
      <protection/>
    </xf>
    <xf numFmtId="0" fontId="0" fillId="0" borderId="39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2" xfId="0" applyFont="1" applyFill="1" applyBorder="1" applyAlignment="1">
      <alignment/>
    </xf>
    <xf numFmtId="165" fontId="17" fillId="0" borderId="19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>
      <alignment horizontal="left" vertical="center" wrapText="1"/>
    </xf>
    <xf numFmtId="165" fontId="49" fillId="24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4" fontId="29" fillId="24" borderId="0" xfId="0" applyNumberFormat="1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165" fontId="13" fillId="0" borderId="26" xfId="0" applyNumberFormat="1" applyFont="1" applyFill="1" applyBorder="1" applyAlignment="1" applyProtection="1">
      <alignment horizontal="center" vertical="center"/>
      <protection/>
    </xf>
    <xf numFmtId="165" fontId="13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19" xfId="56" applyFont="1" applyFill="1" applyBorder="1" applyAlignment="1">
      <alignment horizontal="left" vertical="center" wrapText="1"/>
      <protection/>
    </xf>
    <xf numFmtId="168" fontId="12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>
      <alignment/>
    </xf>
    <xf numFmtId="165" fontId="77" fillId="0" borderId="39" xfId="0" applyNumberFormat="1" applyFont="1" applyFill="1" applyBorder="1" applyAlignment="1" applyProtection="1">
      <alignment horizontal="center" vertical="center"/>
      <protection/>
    </xf>
    <xf numFmtId="165" fontId="6" fillId="0" borderId="39" xfId="0" applyNumberFormat="1" applyFont="1" applyFill="1" applyBorder="1" applyAlignment="1" applyProtection="1">
      <alignment horizontal="center" vertical="center"/>
      <protection/>
    </xf>
    <xf numFmtId="0" fontId="38" fillId="0" borderId="55" xfId="0" applyFont="1" applyFill="1" applyBorder="1" applyAlignment="1">
      <alignment vertical="center" wrapText="1"/>
    </xf>
    <xf numFmtId="0" fontId="43" fillId="0" borderId="64" xfId="0" applyFont="1" applyFill="1" applyBorder="1" applyAlignment="1">
      <alignment vertical="center" wrapText="1"/>
    </xf>
    <xf numFmtId="0" fontId="38" fillId="0" borderId="40" xfId="0" applyFont="1" applyFill="1" applyBorder="1" applyAlignment="1">
      <alignment vertical="center" wrapText="1"/>
    </xf>
    <xf numFmtId="0" fontId="38" fillId="0" borderId="65" xfId="0" applyFont="1" applyFill="1" applyBorder="1" applyAlignment="1">
      <alignment horizontal="right" vertical="center"/>
    </xf>
    <xf numFmtId="0" fontId="36" fillId="0" borderId="0" xfId="53" applyNumberFormat="1" applyFont="1" applyFill="1" applyAlignment="1" applyProtection="1">
      <alignment vertical="center" wrapText="1"/>
      <protection hidden="1"/>
    </xf>
    <xf numFmtId="0" fontId="41" fillId="0" borderId="66" xfId="0" applyFont="1" applyFill="1" applyBorder="1" applyAlignment="1">
      <alignment horizontal="right" vertical="center"/>
    </xf>
    <xf numFmtId="16" fontId="41" fillId="0" borderId="66" xfId="0" applyNumberFormat="1" applyFont="1" applyFill="1" applyBorder="1" applyAlignment="1">
      <alignment horizontal="right" vertical="center"/>
    </xf>
    <xf numFmtId="49" fontId="38" fillId="0" borderId="65" xfId="0" applyNumberFormat="1" applyFont="1" applyFill="1" applyBorder="1" applyAlignment="1">
      <alignment horizontal="right" vertical="center"/>
    </xf>
    <xf numFmtId="49" fontId="39" fillId="0" borderId="66" xfId="0" applyNumberFormat="1" applyFont="1" applyFill="1" applyBorder="1" applyAlignment="1">
      <alignment horizontal="right" vertical="center"/>
    </xf>
    <xf numFmtId="49" fontId="38" fillId="0" borderId="66" xfId="0" applyNumberFormat="1" applyFont="1" applyFill="1" applyBorder="1" applyAlignment="1">
      <alignment horizontal="right" vertical="center"/>
    </xf>
    <xf numFmtId="49" fontId="38" fillId="0" borderId="65" xfId="0" applyNumberFormat="1" applyFont="1" applyFill="1" applyBorder="1" applyAlignment="1">
      <alignment horizontal="center" vertical="center"/>
    </xf>
    <xf numFmtId="49" fontId="36" fillId="0" borderId="66" xfId="0" applyNumberFormat="1" applyFont="1" applyBorder="1" applyAlignment="1">
      <alignment horizontal="center" vertical="center"/>
    </xf>
    <xf numFmtId="49" fontId="30" fillId="0" borderId="66" xfId="0" applyNumberFormat="1" applyFont="1" applyBorder="1" applyAlignment="1">
      <alignment horizontal="center" vertical="center"/>
    </xf>
    <xf numFmtId="0" fontId="41" fillId="0" borderId="67" xfId="0" applyFont="1" applyFill="1" applyBorder="1" applyAlignment="1">
      <alignment horizontal="right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39" fillId="0" borderId="40" xfId="0" applyFont="1" applyFill="1" applyBorder="1" applyAlignment="1">
      <alignment vertical="center" wrapText="1"/>
    </xf>
    <xf numFmtId="0" fontId="38" fillId="0" borderId="55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38" fillId="0" borderId="40" xfId="0" applyFont="1" applyFill="1" applyBorder="1" applyAlignment="1">
      <alignment vertical="center" wrapText="1"/>
    </xf>
    <xf numFmtId="0" fontId="39" fillId="0" borderId="58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41" fillId="0" borderId="55" xfId="0" applyFont="1" applyFill="1" applyBorder="1" applyAlignment="1">
      <alignment vertical="center" wrapText="1"/>
    </xf>
    <xf numFmtId="0" fontId="38" fillId="0" borderId="69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16" fontId="41" fillId="0" borderId="71" xfId="0" applyNumberFormat="1" applyFont="1" applyFill="1" applyBorder="1" applyAlignment="1">
      <alignment horizontal="center" vertical="center"/>
    </xf>
    <xf numFmtId="16" fontId="41" fillId="0" borderId="52" xfId="0" applyNumberFormat="1" applyFont="1" applyFill="1" applyBorder="1" applyAlignment="1">
      <alignment horizontal="center" vertical="center"/>
    </xf>
    <xf numFmtId="49" fontId="38" fillId="0" borderId="71" xfId="0" applyNumberFormat="1" applyFont="1" applyFill="1" applyBorder="1" applyAlignment="1">
      <alignment horizontal="center" vertical="center"/>
    </xf>
    <xf numFmtId="49" fontId="38" fillId="0" borderId="52" xfId="0" applyNumberFormat="1" applyFont="1" applyFill="1" applyBorder="1" applyAlignment="1">
      <alignment horizontal="center" vertical="center"/>
    </xf>
    <xf numFmtId="49" fontId="36" fillId="0" borderId="71" xfId="0" applyNumberFormat="1" applyFont="1" applyBorder="1" applyAlignment="1">
      <alignment horizontal="center" vertical="center"/>
    </xf>
    <xf numFmtId="49" fontId="30" fillId="0" borderId="71" xfId="0" applyNumberFormat="1" applyFont="1" applyBorder="1" applyAlignment="1">
      <alignment horizontal="center" vertical="center"/>
    </xf>
    <xf numFmtId="49" fontId="30" fillId="0" borderId="71" xfId="0" applyNumberFormat="1" applyFont="1" applyFill="1" applyBorder="1" applyAlignment="1">
      <alignment horizontal="center" vertical="center"/>
    </xf>
    <xf numFmtId="49" fontId="39" fillId="0" borderId="72" xfId="0" applyNumberFormat="1" applyFont="1" applyFill="1" applyBorder="1" applyAlignment="1">
      <alignment horizontal="center" vertical="center"/>
    </xf>
    <xf numFmtId="49" fontId="39" fillId="0" borderId="73" xfId="0" applyNumberFormat="1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49" fontId="38" fillId="0" borderId="66" xfId="0" applyNumberFormat="1" applyFont="1" applyFill="1" applyBorder="1" applyAlignment="1">
      <alignment horizontal="center" vertical="center"/>
    </xf>
    <xf numFmtId="165" fontId="12" fillId="20" borderId="10" xfId="0" applyNumberFormat="1" applyFont="1" applyFill="1" applyBorder="1" applyAlignment="1" applyProtection="1">
      <alignment horizontal="center" vertical="center"/>
      <protection/>
    </xf>
    <xf numFmtId="165" fontId="12" fillId="20" borderId="47" xfId="0" applyNumberFormat="1" applyFont="1" applyFill="1" applyBorder="1" applyAlignment="1" applyProtection="1">
      <alignment horizontal="center" vertical="center"/>
      <protection/>
    </xf>
    <xf numFmtId="165" fontId="23" fillId="20" borderId="47" xfId="0" applyNumberFormat="1" applyFont="1" applyFill="1" applyBorder="1" applyAlignment="1" applyProtection="1">
      <alignment horizontal="center" vertical="center"/>
      <protection/>
    </xf>
    <xf numFmtId="165" fontId="12" fillId="20" borderId="10" xfId="0" applyNumberFormat="1" applyFont="1" applyFill="1" applyBorder="1" applyAlignment="1" applyProtection="1">
      <alignment horizontal="center" vertical="center"/>
      <protection/>
    </xf>
    <xf numFmtId="49" fontId="38" fillId="0" borderId="48" xfId="0" applyNumberFormat="1" applyFont="1" applyFill="1" applyBorder="1" applyAlignment="1">
      <alignment vertical="center"/>
    </xf>
    <xf numFmtId="0" fontId="8" fillId="25" borderId="0" xfId="0" applyFont="1" applyFill="1" applyAlignment="1">
      <alignment/>
    </xf>
    <xf numFmtId="0" fontId="21" fillId="25" borderId="0" xfId="63" applyFont="1" applyFill="1" applyAlignment="1">
      <alignment horizontal="right" vertical="top"/>
      <protection/>
    </xf>
    <xf numFmtId="0" fontId="27" fillId="25" borderId="0" xfId="63" applyFont="1" applyFill="1" applyAlignment="1">
      <alignment horizontal="right"/>
      <protection/>
    </xf>
    <xf numFmtId="0" fontId="5" fillId="25" borderId="0" xfId="0" applyFont="1" applyFill="1" applyAlignment="1">
      <alignment horizontal="right"/>
    </xf>
    <xf numFmtId="0" fontId="21" fillId="25" borderId="0" xfId="63" applyFont="1" applyFill="1" applyAlignment="1">
      <alignment horizontal="right"/>
      <protection/>
    </xf>
    <xf numFmtId="0" fontId="8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3" fillId="25" borderId="11" xfId="0" applyFont="1" applyFill="1" applyBorder="1" applyAlignment="1" applyProtection="1">
      <alignment horizontal="center" vertical="center" wrapText="1"/>
      <protection/>
    </xf>
    <xf numFmtId="0" fontId="23" fillId="25" borderId="18" xfId="0" applyFont="1" applyFill="1" applyBorder="1" applyAlignment="1" applyProtection="1">
      <alignment horizontal="center" vertical="center" wrapText="1"/>
      <protection/>
    </xf>
    <xf numFmtId="165" fontId="23" fillId="25" borderId="18" xfId="0" applyNumberFormat="1" applyFont="1" applyFill="1" applyBorder="1" applyAlignment="1" applyProtection="1">
      <alignment horizontal="center" vertical="center" wrapText="1"/>
      <protection/>
    </xf>
    <xf numFmtId="0" fontId="12" fillId="25" borderId="18" xfId="0" applyFont="1" applyFill="1" applyBorder="1" applyAlignment="1" applyProtection="1">
      <alignment horizontal="center" vertical="center" wrapText="1"/>
      <protection/>
    </xf>
    <xf numFmtId="0" fontId="23" fillId="25" borderId="47" xfId="0" applyFont="1" applyFill="1" applyBorder="1" applyAlignment="1" applyProtection="1">
      <alignment horizontal="center" vertical="center" wrapText="1"/>
      <protection/>
    </xf>
    <xf numFmtId="0" fontId="12" fillId="25" borderId="47" xfId="0" applyFont="1" applyFill="1" applyBorder="1" applyAlignment="1" applyProtection="1">
      <alignment horizontal="center" vertical="center" wrapText="1"/>
      <protection/>
    </xf>
    <xf numFmtId="165" fontId="44" fillId="25" borderId="11" xfId="0" applyNumberFormat="1" applyFont="1" applyFill="1" applyBorder="1" applyAlignment="1" applyProtection="1">
      <alignment horizontal="center" vertical="center"/>
      <protection/>
    </xf>
    <xf numFmtId="165" fontId="9" fillId="25" borderId="11" xfId="0" applyNumberFormat="1" applyFont="1" applyFill="1" applyBorder="1" applyAlignment="1" applyProtection="1">
      <alignment horizontal="center" vertical="center"/>
      <protection/>
    </xf>
    <xf numFmtId="165" fontId="11" fillId="25" borderId="0" xfId="0" applyNumberFormat="1" applyFont="1" applyFill="1" applyBorder="1" applyAlignment="1">
      <alignment horizontal="center" vertical="center" wrapText="1"/>
    </xf>
    <xf numFmtId="165" fontId="49" fillId="25" borderId="0" xfId="0" applyNumberFormat="1" applyFont="1" applyFill="1" applyBorder="1" applyAlignment="1">
      <alignment horizontal="center" vertical="center"/>
    </xf>
    <xf numFmtId="4" fontId="49" fillId="25" borderId="0" xfId="0" applyNumberFormat="1" applyFont="1" applyFill="1" applyBorder="1" applyAlignment="1">
      <alignment horizontal="center" vertical="center"/>
    </xf>
    <xf numFmtId="4" fontId="29" fillId="25" borderId="11" xfId="0" applyNumberFormat="1" applyFont="1" applyFill="1" applyBorder="1" applyAlignment="1">
      <alignment horizontal="center" vertical="center" wrapText="1"/>
    </xf>
    <xf numFmtId="165" fontId="29" fillId="25" borderId="11" xfId="0" applyNumberFormat="1" applyFont="1" applyFill="1" applyBorder="1" applyAlignment="1">
      <alignment horizontal="center" vertical="center" wrapText="1"/>
    </xf>
    <xf numFmtId="4" fontId="29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0" fillId="25" borderId="57" xfId="0" applyFill="1" applyBorder="1" applyAlignment="1">
      <alignment horizontal="center" vertical="center"/>
    </xf>
    <xf numFmtId="172" fontId="4" fillId="25" borderId="57" xfId="61" applyNumberFormat="1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4" fontId="0" fillId="25" borderId="0" xfId="0" applyNumberFormat="1" applyFill="1" applyAlignment="1">
      <alignment/>
    </xf>
    <xf numFmtId="165" fontId="0" fillId="25" borderId="0" xfId="0" applyNumberFormat="1" applyFill="1" applyAlignment="1">
      <alignment/>
    </xf>
    <xf numFmtId="165" fontId="42" fillId="25" borderId="0" xfId="0" applyNumberFormat="1" applyFont="1" applyFill="1" applyAlignment="1">
      <alignment/>
    </xf>
    <xf numFmtId="173" fontId="0" fillId="25" borderId="0" xfId="0" applyNumberFormat="1" applyFill="1" applyAlignment="1">
      <alignment/>
    </xf>
    <xf numFmtId="167" fontId="0" fillId="25" borderId="0" xfId="0" applyNumberFormat="1" applyFill="1" applyAlignment="1">
      <alignment/>
    </xf>
    <xf numFmtId="0" fontId="0" fillId="25" borderId="11" xfId="0" applyFill="1" applyBorder="1" applyAlignment="1">
      <alignment/>
    </xf>
    <xf numFmtId="165" fontId="0" fillId="25" borderId="11" xfId="0" applyNumberFormat="1" applyFill="1" applyBorder="1" applyAlignment="1">
      <alignment/>
    </xf>
    <xf numFmtId="0" fontId="1" fillId="25" borderId="0" xfId="63" applyFill="1">
      <alignment/>
      <protection/>
    </xf>
    <xf numFmtId="0" fontId="5" fillId="25" borderId="0" xfId="63" applyFont="1" applyFill="1" applyAlignment="1">
      <alignment horizontal="right"/>
      <protection/>
    </xf>
    <xf numFmtId="0" fontId="8" fillId="25" borderId="0" xfId="63" applyFont="1" applyFill="1">
      <alignment/>
      <protection/>
    </xf>
    <xf numFmtId="0" fontId="8" fillId="25" borderId="0" xfId="0" applyFont="1" applyFill="1" applyAlignment="1">
      <alignment horizontal="center"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64" xfId="0" applyFont="1" applyFill="1" applyBorder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165" fontId="23" fillId="0" borderId="26" xfId="0" applyNumberFormat="1" applyFont="1" applyFill="1" applyBorder="1" applyAlignment="1" applyProtection="1">
      <alignment horizontal="center" vertical="center"/>
      <protection/>
    </xf>
    <xf numFmtId="165" fontId="23" fillId="0" borderId="58" xfId="0" applyNumberFormat="1" applyFont="1" applyFill="1" applyBorder="1" applyAlignment="1" applyProtection="1">
      <alignment horizontal="center" vertical="center"/>
      <protection/>
    </xf>
    <xf numFmtId="165" fontId="23" fillId="0" borderId="55" xfId="0" applyNumberFormat="1" applyFont="1" applyFill="1" applyBorder="1" applyAlignment="1" applyProtection="1">
      <alignment horizontal="center" vertical="center"/>
      <protection/>
    </xf>
    <xf numFmtId="165" fontId="23" fillId="0" borderId="40" xfId="0" applyNumberFormat="1" applyFont="1" applyFill="1" applyBorder="1" applyAlignment="1" applyProtection="1">
      <alignment horizontal="center" vertical="center"/>
      <protection/>
    </xf>
    <xf numFmtId="165" fontId="23" fillId="0" borderId="64" xfId="0" applyNumberFormat="1" applyFont="1" applyFill="1" applyBorder="1" applyAlignment="1" applyProtection="1">
      <alignment horizontal="center" vertical="center"/>
      <protection/>
    </xf>
    <xf numFmtId="165" fontId="23" fillId="0" borderId="55" xfId="0" applyNumberFormat="1" applyFont="1" applyFill="1" applyBorder="1" applyAlignment="1" applyProtection="1">
      <alignment horizontal="center" vertical="center"/>
      <protection/>
    </xf>
    <xf numFmtId="165" fontId="23" fillId="0" borderId="26" xfId="0" applyNumberFormat="1" applyFont="1" applyFill="1" applyBorder="1" applyAlignment="1" applyProtection="1">
      <alignment horizontal="center" vertical="center"/>
      <protection/>
    </xf>
    <xf numFmtId="165" fontId="23" fillId="0" borderId="42" xfId="0" applyNumberFormat="1" applyFont="1" applyFill="1" applyBorder="1" applyAlignment="1" applyProtection="1">
      <alignment horizontal="center" vertical="center"/>
      <protection/>
    </xf>
    <xf numFmtId="165" fontId="23" fillId="0" borderId="64" xfId="0" applyNumberFormat="1" applyFont="1" applyFill="1" applyBorder="1" applyAlignment="1" applyProtection="1">
      <alignment horizontal="center" vertical="center"/>
      <protection/>
    </xf>
    <xf numFmtId="165" fontId="10" fillId="0" borderId="40" xfId="0" applyNumberFormat="1" applyFont="1" applyFill="1" applyBorder="1" applyAlignment="1" applyProtection="1">
      <alignment horizontal="center" vertical="center"/>
      <protection/>
    </xf>
    <xf numFmtId="165" fontId="10" fillId="0" borderId="58" xfId="0" applyNumberFormat="1" applyFont="1" applyFill="1" applyBorder="1" applyAlignment="1" applyProtection="1">
      <alignment horizontal="center" vertical="center"/>
      <protection/>
    </xf>
    <xf numFmtId="165" fontId="23" fillId="0" borderId="58" xfId="0" applyNumberFormat="1" applyFont="1" applyFill="1" applyBorder="1" applyAlignment="1" applyProtection="1">
      <alignment horizontal="center" vertical="center"/>
      <protection/>
    </xf>
    <xf numFmtId="165" fontId="45" fillId="0" borderId="26" xfId="0" applyNumberFormat="1" applyFont="1" applyFill="1" applyBorder="1" applyAlignment="1" applyProtection="1">
      <alignment horizontal="center" vertical="center"/>
      <protection/>
    </xf>
    <xf numFmtId="165" fontId="7" fillId="0" borderId="40" xfId="0" applyNumberFormat="1" applyFont="1" applyFill="1" applyBorder="1" applyAlignment="1" applyProtection="1">
      <alignment horizontal="center" vertical="center"/>
      <protection/>
    </xf>
    <xf numFmtId="165" fontId="13" fillId="0" borderId="55" xfId="0" applyNumberFormat="1" applyFont="1" applyFill="1" applyBorder="1" applyAlignment="1" applyProtection="1">
      <alignment horizontal="center" vertical="center"/>
      <protection/>
    </xf>
    <xf numFmtId="165" fontId="13" fillId="0" borderId="64" xfId="0" applyNumberFormat="1" applyFont="1" applyFill="1" applyBorder="1" applyAlignment="1" applyProtection="1">
      <alignment horizontal="center" vertical="center"/>
      <protection/>
    </xf>
    <xf numFmtId="165" fontId="7" fillId="0" borderId="58" xfId="0" applyNumberFormat="1" applyFont="1" applyFill="1" applyBorder="1" applyAlignment="1" applyProtection="1">
      <alignment horizontal="center" vertical="center"/>
      <protection/>
    </xf>
    <xf numFmtId="165" fontId="45" fillId="0" borderId="64" xfId="0" applyNumberFormat="1" applyFont="1" applyFill="1" applyBorder="1" applyAlignment="1" applyProtection="1">
      <alignment horizontal="center" vertical="center"/>
      <protection/>
    </xf>
    <xf numFmtId="165" fontId="45" fillId="0" borderId="26" xfId="0" applyNumberFormat="1" applyFont="1" applyFill="1" applyBorder="1" applyAlignment="1" applyProtection="1">
      <alignment horizontal="center" vertical="center" wrapText="1"/>
      <protection/>
    </xf>
    <xf numFmtId="165" fontId="45" fillId="0" borderId="55" xfId="0" applyNumberFormat="1" applyFont="1" applyFill="1" applyBorder="1" applyAlignment="1" applyProtection="1">
      <alignment horizontal="center" vertical="center"/>
      <protection/>
    </xf>
    <xf numFmtId="165" fontId="23" fillId="0" borderId="40" xfId="0" applyNumberFormat="1" applyFont="1" applyFill="1" applyBorder="1" applyAlignment="1" applyProtection="1">
      <alignment horizontal="center" vertical="center"/>
      <protection/>
    </xf>
    <xf numFmtId="165" fontId="29" fillId="0" borderId="40" xfId="0" applyNumberFormat="1" applyFont="1" applyFill="1" applyBorder="1" applyAlignment="1">
      <alignment horizontal="center" vertical="center" wrapText="1"/>
    </xf>
    <xf numFmtId="165" fontId="29" fillId="0" borderId="55" xfId="0" applyNumberFormat="1" applyFont="1" applyFill="1" applyBorder="1" applyAlignment="1">
      <alignment horizontal="center" vertical="center" wrapText="1"/>
    </xf>
    <xf numFmtId="165" fontId="29" fillId="0" borderId="26" xfId="0" applyNumberFormat="1" applyFont="1" applyFill="1" applyBorder="1" applyAlignment="1">
      <alignment horizontal="center" vertical="center" wrapText="1"/>
    </xf>
    <xf numFmtId="165" fontId="29" fillId="0" borderId="64" xfId="0" applyNumberFormat="1" applyFont="1" applyFill="1" applyBorder="1" applyAlignment="1">
      <alignment horizontal="center" vertical="center" wrapText="1"/>
    </xf>
    <xf numFmtId="4" fontId="29" fillId="0" borderId="40" xfId="0" applyNumberFormat="1" applyFont="1" applyFill="1" applyBorder="1" applyAlignment="1">
      <alignment horizontal="center" vertical="center" wrapText="1"/>
    </xf>
    <xf numFmtId="165" fontId="23" fillId="0" borderId="40" xfId="0" applyNumberFormat="1" applyFont="1" applyFill="1" applyBorder="1" applyAlignment="1" applyProtection="1">
      <alignment horizontal="center" vertical="center" wrapText="1"/>
      <protection/>
    </xf>
    <xf numFmtId="165" fontId="23" fillId="0" borderId="58" xfId="0" applyNumberFormat="1" applyFont="1" applyFill="1" applyBorder="1" applyAlignment="1" applyProtection="1">
      <alignment horizontal="center" vertical="center" wrapText="1"/>
      <protection/>
    </xf>
    <xf numFmtId="165" fontId="23" fillId="0" borderId="75" xfId="0" applyNumberFormat="1" applyFont="1" applyFill="1" applyBorder="1" applyAlignment="1" applyProtection="1">
      <alignment horizontal="center" vertical="center"/>
      <protection/>
    </xf>
    <xf numFmtId="165" fontId="9" fillId="0" borderId="76" xfId="0" applyNumberFormat="1" applyFont="1" applyFill="1" applyBorder="1" applyAlignment="1" applyProtection="1">
      <alignment horizontal="center" vertical="center"/>
      <protection/>
    </xf>
    <xf numFmtId="165" fontId="12" fillId="0" borderId="55" xfId="0" applyNumberFormat="1" applyFont="1" applyFill="1" applyBorder="1" applyAlignment="1" applyProtection="1">
      <alignment horizontal="center" vertical="center" wrapText="1"/>
      <protection/>
    </xf>
    <xf numFmtId="165" fontId="12" fillId="0" borderId="64" xfId="0" applyNumberFormat="1" applyFont="1" applyFill="1" applyBorder="1" applyAlignment="1" applyProtection="1">
      <alignment horizontal="center" vertical="center" wrapText="1"/>
      <protection/>
    </xf>
    <xf numFmtId="165" fontId="12" fillId="0" borderId="64" xfId="0" applyNumberFormat="1" applyFont="1" applyFill="1" applyBorder="1" applyAlignment="1" applyProtection="1">
      <alignment horizontal="center" vertical="center"/>
      <protection/>
    </xf>
    <xf numFmtId="165" fontId="12" fillId="0" borderId="63" xfId="0" applyNumberFormat="1" applyFont="1" applyFill="1" applyBorder="1" applyAlignment="1" applyProtection="1">
      <alignment horizontal="center" vertical="center"/>
      <protection/>
    </xf>
    <xf numFmtId="165" fontId="12" fillId="0" borderId="26" xfId="0" applyNumberFormat="1" applyFont="1" applyFill="1" applyBorder="1" applyAlignment="1" applyProtection="1">
      <alignment horizontal="center" vertical="center"/>
      <protection/>
    </xf>
    <xf numFmtId="165" fontId="9" fillId="0" borderId="77" xfId="0" applyNumberFormat="1" applyFont="1" applyFill="1" applyBorder="1" applyAlignment="1" applyProtection="1">
      <alignment horizontal="center" vertical="center"/>
      <protection/>
    </xf>
    <xf numFmtId="165" fontId="9" fillId="0" borderId="58" xfId="0" applyNumberFormat="1" applyFont="1" applyFill="1" applyBorder="1" applyAlignment="1" applyProtection="1">
      <alignment horizontal="center" vertical="center"/>
      <protection/>
    </xf>
    <xf numFmtId="165" fontId="12" fillId="0" borderId="55" xfId="0" applyNumberFormat="1" applyFont="1" applyFill="1" applyBorder="1" applyAlignment="1" applyProtection="1">
      <alignment horizontal="center" vertical="center"/>
      <protection/>
    </xf>
    <xf numFmtId="165" fontId="12" fillId="0" borderId="42" xfId="0" applyNumberFormat="1" applyFont="1" applyFill="1" applyBorder="1" applyAlignment="1" applyProtection="1">
      <alignment horizontal="center" vertical="center"/>
      <protection/>
    </xf>
    <xf numFmtId="165" fontId="9" fillId="0" borderId="58" xfId="0" applyNumberFormat="1" applyFont="1" applyFill="1" applyBorder="1" applyAlignment="1" applyProtection="1">
      <alignment horizontal="center" vertical="center"/>
      <protection/>
    </xf>
    <xf numFmtId="165" fontId="56" fillId="0" borderId="40" xfId="0" applyNumberFormat="1" applyFont="1" applyFill="1" applyBorder="1" applyAlignment="1" applyProtection="1">
      <alignment horizontal="center" vertical="center"/>
      <protection/>
    </xf>
    <xf numFmtId="165" fontId="77" fillId="0" borderId="42" xfId="0" applyNumberFormat="1" applyFont="1" applyFill="1" applyBorder="1" applyAlignment="1" applyProtection="1">
      <alignment horizontal="center" vertical="center"/>
      <protection/>
    </xf>
    <xf numFmtId="165" fontId="12" fillId="0" borderId="64" xfId="0" applyNumberFormat="1" applyFont="1" applyFill="1" applyBorder="1" applyAlignment="1" applyProtection="1">
      <alignment horizontal="center" vertical="center"/>
      <protection/>
    </xf>
    <xf numFmtId="165" fontId="9" fillId="0" borderId="55" xfId="0" applyNumberFormat="1" applyFont="1" applyFill="1" applyBorder="1" applyAlignment="1" applyProtection="1">
      <alignment horizontal="center" vertical="center"/>
      <protection/>
    </xf>
    <xf numFmtId="165" fontId="12" fillId="0" borderId="40" xfId="0" applyNumberFormat="1" applyFont="1" applyFill="1" applyBorder="1" applyAlignment="1" applyProtection="1">
      <alignment horizontal="center" vertical="center"/>
      <protection/>
    </xf>
    <xf numFmtId="165" fontId="9" fillId="0" borderId="40" xfId="0" applyNumberFormat="1" applyFont="1" applyFill="1" applyBorder="1" applyAlignment="1" applyProtection="1">
      <alignment horizontal="center" vertical="center"/>
      <protection/>
    </xf>
    <xf numFmtId="165" fontId="45" fillId="0" borderId="75" xfId="0" applyNumberFormat="1" applyFont="1" applyFill="1" applyBorder="1" applyAlignment="1" applyProtection="1">
      <alignment horizontal="center" vertical="center"/>
      <protection/>
    </xf>
    <xf numFmtId="165" fontId="6" fillId="0" borderId="75" xfId="0" applyNumberFormat="1" applyFont="1" applyFill="1" applyBorder="1" applyAlignment="1" applyProtection="1">
      <alignment horizontal="center" vertical="center"/>
      <protection/>
    </xf>
    <xf numFmtId="165" fontId="6" fillId="0" borderId="26" xfId="0" applyNumberFormat="1" applyFont="1" applyFill="1" applyBorder="1" applyAlignment="1" applyProtection="1">
      <alignment horizontal="center" vertical="center"/>
      <protection/>
    </xf>
    <xf numFmtId="165" fontId="6" fillId="0" borderId="64" xfId="0" applyNumberFormat="1" applyFont="1" applyFill="1" applyBorder="1" applyAlignment="1" applyProtection="1">
      <alignment horizontal="center" vertical="center"/>
      <protection/>
    </xf>
    <xf numFmtId="165" fontId="9" fillId="0" borderId="26" xfId="0" applyNumberFormat="1" applyFont="1" applyFill="1" applyBorder="1" applyAlignment="1" applyProtection="1">
      <alignment horizontal="center" vertical="center"/>
      <protection/>
    </xf>
    <xf numFmtId="165" fontId="12" fillId="0" borderId="63" xfId="0" applyNumberFormat="1" applyFont="1" applyFill="1" applyBorder="1" applyAlignment="1" applyProtection="1">
      <alignment horizontal="center" vertical="center"/>
      <protection/>
    </xf>
    <xf numFmtId="4" fontId="49" fillId="0" borderId="76" xfId="0" applyNumberFormat="1" applyFont="1" applyFill="1" applyBorder="1" applyAlignment="1">
      <alignment horizontal="center" vertical="center"/>
    </xf>
    <xf numFmtId="165" fontId="9" fillId="0" borderId="64" xfId="0" applyNumberFormat="1" applyFont="1" applyFill="1" applyBorder="1" applyAlignment="1" applyProtection="1">
      <alignment horizontal="center" vertical="center"/>
      <protection/>
    </xf>
    <xf numFmtId="4" fontId="49" fillId="0" borderId="4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 applyProtection="1">
      <alignment vertical="center" wrapText="1"/>
      <protection/>
    </xf>
    <xf numFmtId="0" fontId="23" fillId="0" borderId="78" xfId="0" applyFont="1" applyFill="1" applyBorder="1" applyAlignment="1" applyProtection="1">
      <alignment vertical="center" wrapText="1"/>
      <protection/>
    </xf>
    <xf numFmtId="0" fontId="23" fillId="0" borderId="79" xfId="0" applyFont="1" applyFill="1" applyBorder="1" applyAlignment="1" applyProtection="1">
      <alignment vertical="center" wrapText="1"/>
      <protection/>
    </xf>
    <xf numFmtId="0" fontId="23" fillId="0" borderId="80" xfId="0" applyFont="1" applyFill="1" applyBorder="1" applyAlignment="1" applyProtection="1">
      <alignment vertical="center" wrapText="1"/>
      <protection/>
    </xf>
    <xf numFmtId="0" fontId="23" fillId="0" borderId="81" xfId="0" applyFont="1" applyFill="1" applyBorder="1" applyAlignment="1" applyProtection="1">
      <alignment vertical="center" wrapText="1"/>
      <protection/>
    </xf>
    <xf numFmtId="0" fontId="23" fillId="0" borderId="82" xfId="0" applyFont="1" applyFill="1" applyBorder="1" applyAlignment="1" applyProtection="1">
      <alignment vertical="center" wrapText="1"/>
      <protection/>
    </xf>
    <xf numFmtId="0" fontId="46" fillId="0" borderId="61" xfId="0" applyFont="1" applyFill="1" applyBorder="1" applyAlignment="1" applyProtection="1">
      <alignment vertical="center" wrapText="1"/>
      <protection/>
    </xf>
    <xf numFmtId="0" fontId="45" fillId="0" borderId="80" xfId="0" applyFont="1" applyFill="1" applyBorder="1" applyAlignment="1" applyProtection="1">
      <alignment vertical="center" wrapText="1"/>
      <protection/>
    </xf>
    <xf numFmtId="0" fontId="45" fillId="0" borderId="78" xfId="0" applyFont="1" applyFill="1" applyBorder="1" applyAlignment="1" applyProtection="1">
      <alignment vertical="center" wrapText="1"/>
      <protection/>
    </xf>
    <xf numFmtId="0" fontId="45" fillId="0" borderId="81" xfId="0" applyFont="1" applyFill="1" applyBorder="1" applyAlignment="1" applyProtection="1">
      <alignment vertical="center" wrapText="1"/>
      <protection/>
    </xf>
    <xf numFmtId="0" fontId="46" fillId="0" borderId="83" xfId="0" applyFont="1" applyFill="1" applyBorder="1" applyAlignment="1" applyProtection="1">
      <alignment vertical="center" wrapText="1"/>
      <protection/>
    </xf>
    <xf numFmtId="0" fontId="45" fillId="0" borderId="82" xfId="0" applyFont="1" applyFill="1" applyBorder="1" applyAlignment="1" applyProtection="1">
      <alignment vertical="center" wrapText="1"/>
      <protection/>
    </xf>
    <xf numFmtId="0" fontId="46" fillId="0" borderId="71" xfId="0" applyFont="1" applyFill="1" applyBorder="1" applyAlignment="1" applyProtection="1">
      <alignment vertical="center" wrapText="1"/>
      <protection/>
    </xf>
    <xf numFmtId="0" fontId="23" fillId="0" borderId="81" xfId="0" applyFont="1" applyFill="1" applyBorder="1" applyAlignment="1" applyProtection="1">
      <alignment horizontal="left" vertical="center" wrapText="1"/>
      <protection/>
    </xf>
    <xf numFmtId="0" fontId="23" fillId="0" borderId="80" xfId="0" applyFont="1" applyFill="1" applyBorder="1" applyAlignment="1" applyProtection="1">
      <alignment vertical="center" wrapText="1"/>
      <protection/>
    </xf>
    <xf numFmtId="0" fontId="23" fillId="0" borderId="78" xfId="0" applyFont="1" applyFill="1" applyBorder="1" applyAlignment="1" applyProtection="1">
      <alignment vertical="center" wrapText="1"/>
      <protection/>
    </xf>
    <xf numFmtId="0" fontId="45" fillId="0" borderId="79" xfId="0" applyFont="1" applyFill="1" applyBorder="1" applyAlignment="1" applyProtection="1">
      <alignment vertical="center" wrapText="1"/>
      <protection/>
    </xf>
    <xf numFmtId="0" fontId="23" fillId="0" borderId="81" xfId="0" applyFont="1" applyFill="1" applyBorder="1" applyAlignment="1" applyProtection="1">
      <alignment vertical="center" wrapText="1"/>
      <protection/>
    </xf>
    <xf numFmtId="0" fontId="23" fillId="0" borderId="83" xfId="0" applyFont="1" applyFill="1" applyBorder="1" applyAlignment="1" applyProtection="1">
      <alignment horizontal="left" vertical="center" wrapText="1"/>
      <protection/>
    </xf>
    <xf numFmtId="0" fontId="23" fillId="0" borderId="80" xfId="0" applyFont="1" applyFill="1" applyBorder="1" applyAlignment="1" applyProtection="1">
      <alignment horizontal="left" vertical="center" wrapText="1"/>
      <protection/>
    </xf>
    <xf numFmtId="0" fontId="23" fillId="0" borderId="78" xfId="0" applyFont="1" applyFill="1" applyBorder="1" applyAlignment="1" applyProtection="1">
      <alignment horizontal="left" vertical="center" wrapText="1"/>
      <protection/>
    </xf>
    <xf numFmtId="0" fontId="45" fillId="0" borderId="80" xfId="0" applyFont="1" applyFill="1" applyBorder="1" applyAlignment="1" applyProtection="1">
      <alignment horizontal="left" vertical="center" wrapText="1"/>
      <protection/>
    </xf>
    <xf numFmtId="0" fontId="48" fillId="0" borderId="79" xfId="0" applyFont="1" applyFill="1" applyBorder="1" applyAlignment="1" applyProtection="1">
      <alignment vertical="center" wrapText="1"/>
      <protection/>
    </xf>
    <xf numFmtId="0" fontId="27" fillId="0" borderId="81" xfId="0" applyFont="1" applyFill="1" applyBorder="1" applyAlignment="1" applyProtection="1">
      <alignment vertical="center" wrapText="1"/>
      <protection/>
    </xf>
    <xf numFmtId="0" fontId="45" fillId="0" borderId="78" xfId="0" applyFont="1" applyFill="1" applyBorder="1" applyAlignment="1" applyProtection="1">
      <alignment vertical="center" wrapText="1"/>
      <protection/>
    </xf>
    <xf numFmtId="0" fontId="27" fillId="0" borderId="78" xfId="0" applyFont="1" applyFill="1" applyBorder="1" applyAlignment="1" applyProtection="1">
      <alignment vertical="center" wrapText="1"/>
      <protection/>
    </xf>
    <xf numFmtId="0" fontId="23" fillId="0" borderId="78" xfId="0" applyFont="1" applyFill="1" applyBorder="1" applyAlignment="1" applyProtection="1">
      <alignment horizontal="left" vertical="center" wrapText="1"/>
      <protection/>
    </xf>
    <xf numFmtId="0" fontId="45" fillId="0" borderId="78" xfId="0" applyFont="1" applyFill="1" applyBorder="1" applyAlignment="1" applyProtection="1">
      <alignment horizontal="left" vertical="center" wrapText="1"/>
      <protection/>
    </xf>
    <xf numFmtId="0" fontId="23" fillId="0" borderId="81" xfId="0" applyFont="1" applyFill="1" applyBorder="1" applyAlignment="1" applyProtection="1">
      <alignment horizontal="left" vertical="center" wrapText="1"/>
      <protection/>
    </xf>
    <xf numFmtId="0" fontId="23" fillId="0" borderId="80" xfId="0" applyFont="1" applyFill="1" applyBorder="1" applyAlignment="1" applyProtection="1">
      <alignment horizontal="left" vertical="center" wrapText="1"/>
      <protection/>
    </xf>
    <xf numFmtId="0" fontId="48" fillId="0" borderId="80" xfId="0" applyFont="1" applyFill="1" applyBorder="1" applyAlignment="1" applyProtection="1">
      <alignment vertical="center" wrapText="1"/>
      <protection/>
    </xf>
    <xf numFmtId="0" fontId="48" fillId="0" borderId="82" xfId="0" applyFont="1" applyFill="1" applyBorder="1" applyAlignment="1" applyProtection="1">
      <alignment vertical="center" wrapText="1"/>
      <protection/>
    </xf>
    <xf numFmtId="0" fontId="25" fillId="0" borderId="78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6" fillId="0" borderId="40" xfId="0" applyFont="1" applyFill="1" applyBorder="1" applyAlignment="1">
      <alignment vertical="center" wrapText="1"/>
    </xf>
    <xf numFmtId="165" fontId="29" fillId="0" borderId="42" xfId="0" applyNumberFormat="1" applyFont="1" applyFill="1" applyBorder="1" applyAlignment="1">
      <alignment horizontal="center" vertical="center" wrapText="1"/>
    </xf>
    <xf numFmtId="165" fontId="17" fillId="0" borderId="39" xfId="0" applyNumberFormat="1" applyFont="1" applyFill="1" applyBorder="1" applyAlignment="1">
      <alignment horizontal="center" vertical="center" wrapText="1"/>
    </xf>
    <xf numFmtId="165" fontId="29" fillId="0" borderId="39" xfId="0" applyNumberFormat="1" applyFont="1" applyFill="1" applyBorder="1" applyAlignment="1">
      <alignment horizontal="center" vertical="center" wrapText="1"/>
    </xf>
    <xf numFmtId="165" fontId="12" fillId="0" borderId="75" xfId="0" applyNumberFormat="1" applyFont="1" applyFill="1" applyBorder="1" applyAlignment="1" applyProtection="1">
      <alignment horizontal="center" vertical="center"/>
      <protection/>
    </xf>
    <xf numFmtId="165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164" fontId="28" fillId="0" borderId="40" xfId="0" applyNumberFormat="1" applyFont="1" applyFill="1" applyBorder="1" applyAlignment="1" applyProtection="1">
      <alignment horizontal="center" vertical="center" wrapText="1"/>
      <protection/>
    </xf>
    <xf numFmtId="165" fontId="28" fillId="0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left" vertical="center" wrapText="1"/>
    </xf>
    <xf numFmtId="165" fontId="31" fillId="0" borderId="47" xfId="0" applyNumberFormat="1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>
      <alignment horizontal="left" vertical="center" wrapText="1"/>
    </xf>
    <xf numFmtId="165" fontId="12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76" xfId="53" applyNumberFormat="1" applyFont="1" applyFill="1" applyBorder="1" applyAlignment="1" applyProtection="1">
      <alignment horizontal="left" vertical="center" wrapText="1"/>
      <protection hidden="1"/>
    </xf>
    <xf numFmtId="49" fontId="38" fillId="0" borderId="86" xfId="0" applyNumberFormat="1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right" vertical="center"/>
    </xf>
    <xf numFmtId="165" fontId="41" fillId="0" borderId="70" xfId="0" applyNumberFormat="1" applyFont="1" applyFill="1" applyBorder="1" applyAlignment="1">
      <alignment horizontal="center" vertical="center"/>
    </xf>
    <xf numFmtId="165" fontId="41" fillId="0" borderId="52" xfId="0" applyNumberFormat="1" applyFont="1" applyFill="1" applyBorder="1" applyAlignment="1">
      <alignment horizontal="center" vertical="center"/>
    </xf>
    <xf numFmtId="165" fontId="41" fillId="0" borderId="52" xfId="0" applyNumberFormat="1" applyFont="1" applyFill="1" applyBorder="1" applyAlignment="1">
      <alignment horizontal="center" vertical="center"/>
    </xf>
    <xf numFmtId="165" fontId="40" fillId="0" borderId="52" xfId="0" applyNumberFormat="1" applyFont="1" applyFill="1" applyBorder="1" applyAlignment="1">
      <alignment horizontal="center" vertical="center"/>
    </xf>
    <xf numFmtId="165" fontId="40" fillId="0" borderId="88" xfId="0" applyNumberFormat="1" applyFont="1" applyFill="1" applyBorder="1" applyAlignment="1">
      <alignment horizontal="center" vertical="center"/>
    </xf>
    <xf numFmtId="165" fontId="40" fillId="0" borderId="89" xfId="0" applyNumberFormat="1" applyFont="1" applyFill="1" applyBorder="1" applyAlignment="1">
      <alignment horizontal="center" vertical="center"/>
    </xf>
    <xf numFmtId="165" fontId="40" fillId="0" borderId="90" xfId="0" applyNumberFormat="1" applyFont="1" applyFill="1" applyBorder="1" applyAlignment="1">
      <alignment horizontal="center" vertical="center"/>
    </xf>
    <xf numFmtId="165" fontId="41" fillId="0" borderId="91" xfId="0" applyNumberFormat="1" applyFont="1" applyFill="1" applyBorder="1" applyAlignment="1">
      <alignment horizontal="center" vertical="center"/>
    </xf>
    <xf numFmtId="0" fontId="36" fillId="0" borderId="92" xfId="53" applyNumberFormat="1" applyFont="1" applyFill="1" applyBorder="1" applyAlignment="1" applyProtection="1">
      <alignment horizontal="left" vertical="center" wrapText="1"/>
      <protection hidden="1"/>
    </xf>
    <xf numFmtId="49" fontId="38" fillId="0" borderId="93" xfId="0" applyNumberFormat="1" applyFont="1" applyFill="1" applyBorder="1" applyAlignment="1">
      <alignment horizontal="center" vertical="center"/>
    </xf>
    <xf numFmtId="49" fontId="38" fillId="0" borderId="54" xfId="0" applyNumberFormat="1" applyFont="1" applyFill="1" applyBorder="1" applyAlignment="1">
      <alignment horizontal="center" vertical="center"/>
    </xf>
    <xf numFmtId="170" fontId="13" fillId="0" borderId="94" xfId="0" applyNumberFormat="1" applyFont="1" applyFill="1" applyBorder="1" applyAlignment="1" applyProtection="1">
      <alignment horizontal="center" vertical="center"/>
      <protection/>
    </xf>
    <xf numFmtId="3" fontId="13" fillId="0" borderId="94" xfId="0" applyNumberFormat="1" applyFont="1" applyFill="1" applyBorder="1" applyAlignment="1" applyProtection="1">
      <alignment horizontal="center" vertical="center"/>
      <protection/>
    </xf>
    <xf numFmtId="164" fontId="13" fillId="0" borderId="95" xfId="0" applyNumberFormat="1" applyFont="1" applyFill="1" applyBorder="1" applyAlignment="1" applyProtection="1">
      <alignment horizontal="center" vertical="center"/>
      <protection/>
    </xf>
    <xf numFmtId="165" fontId="13" fillId="0" borderId="95" xfId="0" applyNumberFormat="1" applyFont="1" applyFill="1" applyBorder="1" applyAlignment="1" applyProtection="1">
      <alignment horizontal="center" vertical="center"/>
      <protection/>
    </xf>
    <xf numFmtId="3" fontId="13" fillId="0" borderId="96" xfId="0" applyNumberFormat="1" applyFont="1" applyFill="1" applyBorder="1" applyAlignment="1" applyProtection="1">
      <alignment horizontal="center" vertical="center"/>
      <protection/>
    </xf>
    <xf numFmtId="165" fontId="13" fillId="0" borderId="94" xfId="0" applyNumberFormat="1" applyFont="1" applyFill="1" applyBorder="1" applyAlignment="1" applyProtection="1">
      <alignment horizontal="center" vertical="center"/>
      <protection/>
    </xf>
    <xf numFmtId="165" fontId="13" fillId="0" borderId="97" xfId="0" applyNumberFormat="1" applyFont="1" applyFill="1" applyBorder="1" applyAlignment="1" applyProtection="1">
      <alignment horizontal="center" vertical="center"/>
      <protection/>
    </xf>
    <xf numFmtId="165" fontId="13" fillId="0" borderId="96" xfId="0" applyNumberFormat="1" applyFont="1" applyFill="1" applyBorder="1" applyAlignment="1" applyProtection="1">
      <alignment horizontal="center" vertical="center"/>
      <protection/>
    </xf>
    <xf numFmtId="165" fontId="13" fillId="0" borderId="75" xfId="0" applyNumberFormat="1" applyFont="1" applyFill="1" applyBorder="1" applyAlignment="1" applyProtection="1">
      <alignment horizontal="center" vertical="center"/>
      <protection/>
    </xf>
    <xf numFmtId="0" fontId="38" fillId="0" borderId="80" xfId="0" applyFont="1" applyFill="1" applyBorder="1" applyAlignment="1">
      <alignment vertical="center" wrapText="1"/>
    </xf>
    <xf numFmtId="0" fontId="43" fillId="0" borderId="81" xfId="0" applyFont="1" applyFill="1" applyBorder="1" applyAlignment="1">
      <alignment vertical="center" wrapText="1"/>
    </xf>
    <xf numFmtId="165" fontId="40" fillId="0" borderId="18" xfId="0" applyNumberFormat="1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vertical="center" wrapText="1"/>
    </xf>
    <xf numFmtId="165" fontId="4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0" fontId="13" fillId="0" borderId="98" xfId="0" applyFont="1" applyFill="1" applyBorder="1" applyAlignment="1" applyProtection="1">
      <alignment horizontal="center" vertical="center"/>
      <protection/>
    </xf>
    <xf numFmtId="0" fontId="10" fillId="0" borderId="87" xfId="0" applyFont="1" applyFill="1" applyBorder="1" applyAlignment="1">
      <alignment horizontal="left" vertical="center" wrapText="1"/>
    </xf>
    <xf numFmtId="0" fontId="30" fillId="0" borderId="0" xfId="53" applyNumberFormat="1" applyFont="1" applyFill="1" applyAlignment="1" applyProtection="1">
      <alignment horizontal="right" vertical="center" wrapText="1"/>
      <protection hidden="1"/>
    </xf>
    <xf numFmtId="0" fontId="12" fillId="0" borderId="16" xfId="0" applyFont="1" applyFill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64" fontId="9" fillId="0" borderId="17" xfId="0" applyNumberFormat="1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horizontal="center" vertical="center"/>
      <protection/>
    </xf>
    <xf numFmtId="164" fontId="9" fillId="0" borderId="18" xfId="0" applyNumberFormat="1" applyFont="1" applyFill="1" applyBorder="1" applyAlignment="1" applyProtection="1">
      <alignment horizontal="center"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5" fontId="5" fillId="0" borderId="56" xfId="0" applyNumberFormat="1" applyFont="1" applyFill="1" applyBorder="1" applyAlignment="1">
      <alignment horizontal="center" vertical="center" wrapText="1"/>
    </xf>
    <xf numFmtId="165" fontId="13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7" fillId="0" borderId="99" xfId="0" applyNumberFormat="1" applyFont="1" applyFill="1" applyBorder="1" applyAlignment="1" applyProtection="1">
      <alignment horizontal="center" vertical="center"/>
      <protection/>
    </xf>
    <xf numFmtId="164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3" fontId="13" fillId="0" borderId="21" xfId="0" applyNumberFormat="1" applyFont="1" applyFill="1" applyBorder="1" applyAlignment="1" applyProtection="1">
      <alignment horizontal="center" vertical="center"/>
      <protection/>
    </xf>
    <xf numFmtId="3" fontId="13" fillId="0" borderId="22" xfId="0" applyNumberFormat="1" applyFont="1" applyFill="1" applyBorder="1" applyAlignment="1" applyProtection="1">
      <alignment horizontal="center" vertical="center"/>
      <protection/>
    </xf>
    <xf numFmtId="3" fontId="13" fillId="0" borderId="23" xfId="0" applyNumberFormat="1" applyFont="1" applyFill="1" applyBorder="1" applyAlignment="1" applyProtection="1">
      <alignment horizontal="center" vertical="center"/>
      <protection/>
    </xf>
    <xf numFmtId="171" fontId="13" fillId="0" borderId="21" xfId="0" applyNumberFormat="1" applyFont="1" applyFill="1" applyBorder="1" applyAlignment="1" applyProtection="1">
      <alignment horizontal="center" vertical="center"/>
      <protection/>
    </xf>
    <xf numFmtId="171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164" fontId="1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164" fontId="13" fillId="0" borderId="37" xfId="0" applyNumberFormat="1" applyFont="1" applyFill="1" applyBorder="1" applyAlignment="1" applyProtection="1">
      <alignment horizontal="center" vertical="center"/>
      <protection/>
    </xf>
    <xf numFmtId="3" fontId="13" fillId="0" borderId="37" xfId="0" applyNumberFormat="1" applyFont="1" applyFill="1" applyBorder="1" applyAlignment="1" applyProtection="1">
      <alignment horizontal="center" vertical="center"/>
      <protection/>
    </xf>
    <xf numFmtId="3" fontId="13" fillId="0" borderId="43" xfId="0" applyNumberFormat="1" applyFont="1" applyFill="1" applyBorder="1" applyAlignment="1" applyProtection="1">
      <alignment horizontal="center" vertical="center"/>
      <protection/>
    </xf>
    <xf numFmtId="3" fontId="13" fillId="0" borderId="60" xfId="0" applyNumberFormat="1" applyFont="1" applyFill="1" applyBorder="1" applyAlignment="1" applyProtection="1">
      <alignment horizontal="center" vertical="center"/>
      <protection/>
    </xf>
    <xf numFmtId="165" fontId="13" fillId="0" borderId="33" xfId="0" applyNumberFormat="1" applyFont="1" applyFill="1" applyBorder="1" applyAlignment="1" applyProtection="1">
      <alignment horizontal="center" vertical="center"/>
      <protection/>
    </xf>
    <xf numFmtId="171" fontId="13" fillId="0" borderId="37" xfId="0" applyNumberFormat="1" applyFont="1" applyFill="1" applyBorder="1" applyAlignment="1" applyProtection="1">
      <alignment horizontal="center" vertical="center"/>
      <protection/>
    </xf>
    <xf numFmtId="171" fontId="13" fillId="0" borderId="43" xfId="0" applyNumberFormat="1" applyFont="1" applyFill="1" applyBorder="1" applyAlignment="1" applyProtection="1">
      <alignment horizontal="center" vertical="center"/>
      <protection/>
    </xf>
    <xf numFmtId="165" fontId="13" fillId="0" borderId="100" xfId="0" applyNumberFormat="1" applyFont="1" applyFill="1" applyBorder="1" applyAlignment="1" applyProtection="1">
      <alignment horizontal="center" vertical="center"/>
      <protection/>
    </xf>
    <xf numFmtId="3" fontId="1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5" fontId="9" fillId="0" borderId="19" xfId="0" applyNumberFormat="1" applyFont="1" applyFill="1" applyBorder="1" applyAlignment="1" applyProtection="1">
      <alignment horizontal="center" vertical="center"/>
      <protection/>
    </xf>
    <xf numFmtId="168" fontId="12" fillId="0" borderId="47" xfId="0" applyNumberFormat="1" applyFont="1" applyFill="1" applyBorder="1" applyAlignment="1" applyProtection="1">
      <alignment horizontal="center" vertical="center"/>
      <protection/>
    </xf>
    <xf numFmtId="0" fontId="45" fillId="20" borderId="47" xfId="0" applyFont="1" applyFill="1" applyBorder="1" applyAlignment="1" applyProtection="1">
      <alignment vertical="center" wrapText="1"/>
      <protection/>
    </xf>
    <xf numFmtId="165" fontId="31" fillId="20" borderId="47" xfId="0" applyNumberFormat="1" applyFont="1" applyFill="1" applyBorder="1" applyAlignment="1" applyProtection="1">
      <alignment horizontal="center" vertical="center"/>
      <protection/>
    </xf>
    <xf numFmtId="165" fontId="12" fillId="20" borderId="47" xfId="0" applyNumberFormat="1" applyFont="1" applyFill="1" applyBorder="1" applyAlignment="1" applyProtection="1">
      <alignment horizontal="center" vertical="center"/>
      <protection/>
    </xf>
    <xf numFmtId="165" fontId="9" fillId="20" borderId="47" xfId="0" applyNumberFormat="1" applyFont="1" applyFill="1" applyBorder="1" applyAlignment="1" applyProtection="1">
      <alignment horizontal="center" vertical="center"/>
      <protection/>
    </xf>
    <xf numFmtId="0" fontId="0" fillId="20" borderId="47" xfId="0" applyFill="1" applyBorder="1" applyAlignment="1">
      <alignment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5" fontId="12" fillId="20" borderId="19" xfId="0" applyNumberFormat="1" applyFont="1" applyFill="1" applyBorder="1" applyAlignment="1" applyProtection="1">
      <alignment horizontal="center" vertical="center"/>
      <protection/>
    </xf>
    <xf numFmtId="165" fontId="7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/>
    </xf>
    <xf numFmtId="0" fontId="5" fillId="0" borderId="47" xfId="56" applyFont="1" applyFill="1" applyBorder="1" applyAlignment="1">
      <alignment horizontal="left" vertical="center" wrapText="1"/>
      <protection/>
    </xf>
    <xf numFmtId="165" fontId="7" fillId="0" borderId="47" xfId="0" applyNumberFormat="1" applyFont="1" applyFill="1" applyBorder="1" applyAlignment="1" applyProtection="1">
      <alignment horizontal="center" vertical="center"/>
      <protection/>
    </xf>
    <xf numFmtId="165" fontId="12" fillId="20" borderId="18" xfId="0" applyNumberFormat="1" applyFont="1" applyFill="1" applyBorder="1" applyAlignment="1" applyProtection="1">
      <alignment horizontal="center" vertical="center"/>
      <protection/>
    </xf>
    <xf numFmtId="165" fontId="12" fillId="0" borderId="48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Fill="1" applyBorder="1" applyAlignment="1">
      <alignment horizontal="left" vertical="center" wrapText="1"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4" borderId="47" xfId="0" applyNumberFormat="1" applyFont="1" applyFill="1" applyBorder="1" applyAlignment="1" applyProtection="1">
      <alignment horizontal="center" vertical="center" wrapText="1"/>
      <protection/>
    </xf>
    <xf numFmtId="165" fontId="12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7" xfId="0" applyFill="1" applyBorder="1" applyAlignment="1">
      <alignment/>
    </xf>
    <xf numFmtId="0" fontId="0" fillId="4" borderId="54" xfId="0" applyFill="1" applyBorder="1" applyAlignment="1">
      <alignment/>
    </xf>
    <xf numFmtId="164" fontId="28" fillId="0" borderId="55" xfId="0" applyNumberFormat="1" applyFont="1" applyFill="1" applyBorder="1" applyAlignment="1" applyProtection="1">
      <alignment horizontal="center" vertical="center" wrapText="1"/>
      <protection/>
    </xf>
    <xf numFmtId="164" fontId="28" fillId="4" borderId="58" xfId="0" applyNumberFormat="1" applyFont="1" applyFill="1" applyBorder="1" applyAlignment="1" applyProtection="1">
      <alignment horizontal="center" vertical="center" wrapText="1"/>
      <protection/>
    </xf>
    <xf numFmtId="165" fontId="9" fillId="4" borderId="18" xfId="0" applyNumberFormat="1" applyFont="1" applyFill="1" applyBorder="1" applyAlignment="1" applyProtection="1">
      <alignment horizontal="center" vertical="center"/>
      <protection/>
    </xf>
    <xf numFmtId="165" fontId="12" fillId="4" borderId="18" xfId="0" applyNumberFormat="1" applyFont="1" applyFill="1" applyBorder="1" applyAlignment="1" applyProtection="1">
      <alignment horizontal="center" vertical="center"/>
      <protection/>
    </xf>
    <xf numFmtId="0" fontId="0" fillId="4" borderId="18" xfId="0" applyFill="1" applyBorder="1" applyAlignment="1">
      <alignment/>
    </xf>
    <xf numFmtId="0" fontId="0" fillId="4" borderId="11" xfId="0" applyFill="1" applyBorder="1" applyAlignment="1">
      <alignment/>
    </xf>
    <xf numFmtId="165" fontId="29" fillId="20" borderId="47" xfId="0" applyNumberFormat="1" applyFont="1" applyFill="1" applyBorder="1" applyAlignment="1">
      <alignment horizontal="center" vertical="center" wrapText="1"/>
    </xf>
    <xf numFmtId="0" fontId="27" fillId="0" borderId="0" xfId="63" applyFont="1" applyFill="1" applyAlignment="1">
      <alignment horizontal="right"/>
      <protection/>
    </xf>
    <xf numFmtId="165" fontId="44" fillId="0" borderId="11" xfId="0" applyNumberFormat="1" applyFont="1" applyFill="1" applyBorder="1" applyAlignment="1" applyProtection="1">
      <alignment horizontal="center" vertical="center"/>
      <protection/>
    </xf>
    <xf numFmtId="165" fontId="31" fillId="0" borderId="12" xfId="0" applyNumberFormat="1" applyFont="1" applyFill="1" applyBorder="1" applyAlignment="1" applyProtection="1">
      <alignment horizontal="center" vertical="center" wrapText="1"/>
      <protection/>
    </xf>
    <xf numFmtId="165" fontId="31" fillId="0" borderId="39" xfId="0" applyNumberFormat="1" applyFont="1" applyFill="1" applyBorder="1" applyAlignment="1" applyProtection="1">
      <alignment horizontal="center" vertical="center" wrapText="1"/>
      <protection/>
    </xf>
    <xf numFmtId="165" fontId="12" fillId="0" borderId="41" xfId="0" applyNumberFormat="1" applyFont="1" applyFill="1" applyBorder="1" applyAlignment="1" applyProtection="1">
      <alignment horizontal="center" vertical="center" wrapText="1"/>
      <protection/>
    </xf>
    <xf numFmtId="165" fontId="31" fillId="0" borderId="10" xfId="0" applyNumberFormat="1" applyFont="1" applyFill="1" applyBorder="1" applyAlignment="1" applyProtection="1">
      <alignment horizontal="center" vertical="center" wrapText="1"/>
      <protection/>
    </xf>
    <xf numFmtId="165" fontId="31" fillId="0" borderId="47" xfId="0" applyNumberFormat="1" applyFont="1" applyFill="1" applyBorder="1" applyAlignment="1" applyProtection="1">
      <alignment horizontal="center" vertical="center" wrapText="1"/>
      <protection/>
    </xf>
    <xf numFmtId="165" fontId="12" fillId="0" borderId="101" xfId="0" applyNumberFormat="1" applyFont="1" applyFill="1" applyBorder="1" applyAlignment="1" applyProtection="1">
      <alignment horizontal="center" vertical="center" wrapText="1"/>
      <protection/>
    </xf>
    <xf numFmtId="165" fontId="12" fillId="0" borderId="39" xfId="0" applyNumberFormat="1" applyFont="1" applyFill="1" applyBorder="1" applyAlignment="1" applyProtection="1">
      <alignment horizontal="center" vertical="center"/>
      <protection/>
    </xf>
    <xf numFmtId="165" fontId="31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48" xfId="0" applyFont="1" applyFill="1" applyBorder="1" applyAlignment="1" applyProtection="1">
      <alignment vertical="center" wrapText="1"/>
      <protection/>
    </xf>
    <xf numFmtId="165" fontId="44" fillId="0" borderId="48" xfId="0" applyNumberFormat="1" applyFont="1" applyFill="1" applyBorder="1" applyAlignment="1" applyProtection="1">
      <alignment horizontal="center" vertical="center"/>
      <protection/>
    </xf>
    <xf numFmtId="165" fontId="31" fillId="0" borderId="10" xfId="0" applyNumberFormat="1" applyFont="1" applyFill="1" applyBorder="1" applyAlignment="1" applyProtection="1">
      <alignment horizontal="center" vertical="center"/>
      <protection/>
    </xf>
    <xf numFmtId="165" fontId="31" fillId="0" borderId="12" xfId="0" applyNumberFormat="1" applyFont="1" applyFill="1" applyBorder="1" applyAlignment="1" applyProtection="1">
      <alignment horizontal="center" vertical="center"/>
      <protection/>
    </xf>
    <xf numFmtId="165" fontId="31" fillId="0" borderId="18" xfId="0" applyNumberFormat="1" applyFont="1" applyFill="1" applyBorder="1" applyAlignment="1" applyProtection="1">
      <alignment horizontal="center" vertical="center"/>
      <protection/>
    </xf>
    <xf numFmtId="165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2" xfId="0" applyNumberFormat="1" applyFont="1" applyFill="1" applyBorder="1" applyAlignment="1" applyProtection="1">
      <alignment horizontal="center" vertical="center"/>
      <protection/>
    </xf>
    <xf numFmtId="165" fontId="31" fillId="0" borderId="39" xfId="0" applyNumberFormat="1" applyFont="1" applyFill="1" applyBorder="1" applyAlignment="1" applyProtection="1">
      <alignment horizontal="center" vertical="center"/>
      <protection/>
    </xf>
    <xf numFmtId="165" fontId="31" fillId="0" borderId="18" xfId="0" applyNumberFormat="1" applyFont="1" applyFill="1" applyBorder="1" applyAlignment="1" applyProtection="1">
      <alignment horizontal="center" vertical="center" wrapText="1"/>
      <protection/>
    </xf>
    <xf numFmtId="165" fontId="47" fillId="0" borderId="11" xfId="0" applyNumberFormat="1" applyFont="1" applyFill="1" applyBorder="1" applyAlignment="1" applyProtection="1">
      <alignment horizontal="center" vertical="center"/>
      <protection/>
    </xf>
    <xf numFmtId="165" fontId="47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2" xfId="0" applyNumberFormat="1" applyFont="1" applyFill="1" applyBorder="1" applyAlignment="1" applyProtection="1">
      <alignment horizontal="center" vertical="center"/>
      <protection/>
    </xf>
    <xf numFmtId="165" fontId="9" fillId="0" borderId="98" xfId="0" applyNumberFormat="1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65" fontId="44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 wrapText="1"/>
      <protection/>
    </xf>
    <xf numFmtId="165" fontId="44" fillId="0" borderId="12" xfId="0" applyNumberFormat="1" applyFont="1" applyFill="1" applyBorder="1" applyAlignment="1" applyProtection="1">
      <alignment horizontal="center" vertical="center"/>
      <protection/>
    </xf>
    <xf numFmtId="165" fontId="76" fillId="0" borderId="39" xfId="0" applyNumberFormat="1" applyFont="1" applyFill="1" applyBorder="1" applyAlignment="1" applyProtection="1">
      <alignment horizontal="center" vertical="center"/>
      <protection/>
    </xf>
    <xf numFmtId="165" fontId="78" fillId="0" borderId="39" xfId="0" applyNumberFormat="1" applyFont="1" applyFill="1" applyBorder="1" applyAlignment="1" applyProtection="1">
      <alignment horizontal="center" vertical="center"/>
      <protection/>
    </xf>
    <xf numFmtId="0" fontId="45" fillId="0" borderId="39" xfId="0" applyFont="1" applyFill="1" applyBorder="1" applyAlignment="1" applyProtection="1">
      <alignment vertical="center" wrapText="1"/>
      <protection/>
    </xf>
    <xf numFmtId="0" fontId="23" fillId="0" borderId="47" xfId="0" applyFont="1" applyFill="1" applyBorder="1" applyAlignment="1" applyProtection="1">
      <alignment vertical="center" wrapText="1"/>
      <protection/>
    </xf>
    <xf numFmtId="165" fontId="12" fillId="0" borderId="102" xfId="0" applyNumberFormat="1" applyFont="1" applyFill="1" applyBorder="1" applyAlignment="1" applyProtection="1">
      <alignment horizontal="center" vertical="center"/>
      <protection/>
    </xf>
    <xf numFmtId="165" fontId="44" fillId="0" borderId="54" xfId="0" applyNumberFormat="1" applyFont="1" applyFill="1" applyBorder="1" applyAlignment="1" applyProtection="1">
      <alignment horizontal="center" vertical="center"/>
      <protection/>
    </xf>
    <xf numFmtId="165" fontId="31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165" fontId="8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8" fillId="0" borderId="39" xfId="0" applyFont="1" applyFill="1" applyBorder="1" applyAlignment="1" applyProtection="1">
      <alignment vertical="center" wrapText="1"/>
      <protection/>
    </xf>
    <xf numFmtId="165" fontId="12" fillId="0" borderId="75" xfId="0" applyNumberFormat="1" applyFont="1" applyFill="1" applyBorder="1" applyAlignment="1" applyProtection="1">
      <alignment horizontal="center" vertical="center"/>
      <protection/>
    </xf>
    <xf numFmtId="0" fontId="27" fillId="0" borderId="47" xfId="0" applyFont="1" applyFill="1" applyBorder="1" applyAlignment="1" applyProtection="1">
      <alignment vertical="center" wrapText="1"/>
      <protection/>
    </xf>
    <xf numFmtId="165" fontId="11" fillId="0" borderId="47" xfId="0" applyNumberFormat="1" applyFont="1" applyFill="1" applyBorder="1" applyAlignment="1" applyProtection="1">
      <alignment horizontal="center" vertical="center"/>
      <protection/>
    </xf>
    <xf numFmtId="164" fontId="31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55" xfId="0" applyNumberFormat="1" applyFont="1" applyFill="1" applyBorder="1" applyAlignment="1" applyProtection="1">
      <alignment horizontal="center" vertical="center"/>
      <protection/>
    </xf>
    <xf numFmtId="164" fontId="31" fillId="0" borderId="12" xfId="0" applyNumberFormat="1" applyFont="1" applyFill="1" applyBorder="1" applyAlignment="1" applyProtection="1">
      <alignment horizontal="center" vertical="center" wrapText="1"/>
      <protection/>
    </xf>
    <xf numFmtId="165" fontId="6" fillId="0" borderId="54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5" fontId="79" fillId="0" borderId="98" xfId="0" applyNumberFormat="1" applyFont="1" applyFill="1" applyBorder="1" applyAlignment="1" applyProtection="1">
      <alignment horizontal="center" vertical="center"/>
      <protection/>
    </xf>
    <xf numFmtId="164" fontId="28" fillId="0" borderId="47" xfId="0" applyNumberFormat="1" applyFont="1" applyFill="1" applyBorder="1" applyAlignment="1" applyProtection="1">
      <alignment horizontal="center" vertical="center" wrapText="1"/>
      <protection/>
    </xf>
    <xf numFmtId="165" fontId="6" fillId="0" borderId="101" xfId="0" applyNumberFormat="1" applyFont="1" applyFill="1" applyBorder="1" applyAlignment="1" applyProtection="1">
      <alignment horizontal="center" vertical="center"/>
      <protection/>
    </xf>
    <xf numFmtId="164" fontId="44" fillId="0" borderId="11" xfId="0" applyNumberFormat="1" applyFont="1" applyFill="1" applyBorder="1" applyAlignment="1" applyProtection="1">
      <alignment horizontal="center" vertical="center" wrapText="1"/>
      <protection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164" fontId="31" fillId="0" borderId="26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23" fillId="0" borderId="47" xfId="0" applyFont="1" applyFill="1" applyBorder="1" applyAlignment="1" applyProtection="1">
      <alignment horizontal="left" vertical="center" wrapText="1"/>
      <protection/>
    </xf>
    <xf numFmtId="164" fontId="31" fillId="0" borderId="64" xfId="0" applyNumberFormat="1" applyFont="1" applyFill="1" applyBorder="1" applyAlignment="1" applyProtection="1">
      <alignment horizontal="center" vertical="center" wrapText="1"/>
      <protection/>
    </xf>
    <xf numFmtId="165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165" fontId="28" fillId="0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98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8" fillId="0" borderId="19" xfId="0" applyFont="1" applyFill="1" applyBorder="1" applyAlignment="1" applyProtection="1">
      <alignment vertical="center" wrapText="1"/>
      <protection/>
    </xf>
    <xf numFmtId="0" fontId="25" fillId="0" borderId="12" xfId="0" applyFont="1" applyFill="1" applyBorder="1" applyAlignment="1">
      <alignment horizontal="left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49" fillId="0" borderId="17" xfId="0" applyNumberFormat="1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72" fontId="4" fillId="0" borderId="57" xfId="61" applyNumberFormat="1" applyFont="1" applyFill="1" applyBorder="1" applyAlignment="1">
      <alignment horizontal="center" vertical="center"/>
    </xf>
    <xf numFmtId="0" fontId="5" fillId="0" borderId="0" xfId="63" applyFont="1" applyFill="1" applyAlignment="1">
      <alignment horizontal="right"/>
      <protection/>
    </xf>
    <xf numFmtId="0" fontId="8" fillId="0" borderId="0" xfId="63" applyFont="1" applyFill="1">
      <alignment/>
      <protection/>
    </xf>
    <xf numFmtId="0" fontId="23" fillId="0" borderId="18" xfId="0" applyFont="1" applyFill="1" applyBorder="1" applyAlignment="1" applyProtection="1">
      <alignment vertical="center" wrapText="1"/>
      <protection/>
    </xf>
    <xf numFmtId="165" fontId="13" fillId="0" borderId="40" xfId="0" applyNumberFormat="1" applyFont="1" applyFill="1" applyBorder="1" applyAlignment="1" applyProtection="1">
      <alignment horizontal="center" vertical="center"/>
      <protection/>
    </xf>
    <xf numFmtId="196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196" fontId="51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  <protection/>
    </xf>
    <xf numFmtId="165" fontId="12" fillId="0" borderId="11" xfId="0" applyNumberFormat="1" applyFont="1" applyFill="1" applyBorder="1" applyAlignment="1" applyProtection="1">
      <alignment horizontal="center" vertical="center"/>
      <protection/>
    </xf>
    <xf numFmtId="165" fontId="12" fillId="0" borderId="58" xfId="0" applyNumberFormat="1" applyFont="1" applyFill="1" applyBorder="1" applyAlignment="1" applyProtection="1">
      <alignment horizontal="center" vertical="center"/>
      <protection/>
    </xf>
    <xf numFmtId="2" fontId="25" fillId="0" borderId="39" xfId="0" applyNumberFormat="1" applyFont="1" applyFill="1" applyBorder="1" applyAlignment="1" applyProtection="1">
      <alignment horizontal="left"/>
      <protection/>
    </xf>
    <xf numFmtId="2" fontId="33" fillId="0" borderId="10" xfId="0" applyNumberFormat="1" applyFont="1" applyFill="1" applyBorder="1" applyAlignment="1" applyProtection="1">
      <alignment horizontal="left" vertical="center" wrapText="1"/>
      <protection/>
    </xf>
    <xf numFmtId="165" fontId="52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8" fillId="0" borderId="47" xfId="0" applyFont="1" applyFill="1" applyBorder="1" applyAlignment="1" applyProtection="1">
      <alignment horizontal="left" vertical="center" wrapText="1"/>
      <protection/>
    </xf>
    <xf numFmtId="165" fontId="52" fillId="0" borderId="47" xfId="0" applyNumberFormat="1" applyFont="1" applyFill="1" applyBorder="1" applyAlignment="1" applyProtection="1">
      <alignment horizontal="center" vertical="center"/>
      <protection/>
    </xf>
    <xf numFmtId="165" fontId="53" fillId="0" borderId="11" xfId="0" applyNumberFormat="1" applyFont="1" applyFill="1" applyBorder="1" applyAlignment="1" applyProtection="1">
      <alignment horizontal="center" vertical="center"/>
      <protection/>
    </xf>
    <xf numFmtId="165" fontId="12" fillId="0" borderId="18" xfId="0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48" fillId="0" borderId="47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165" fontId="52" fillId="0" borderId="10" xfId="0" applyNumberFormat="1" applyFont="1" applyFill="1" applyBorder="1" applyAlignment="1" applyProtection="1">
      <alignment horizontal="center" vertical="center"/>
      <protection/>
    </xf>
    <xf numFmtId="165" fontId="52" fillId="0" borderId="26" xfId="0" applyNumberFormat="1" applyFont="1" applyFill="1" applyBorder="1" applyAlignment="1" applyProtection="1">
      <alignment horizontal="center" vertical="center"/>
      <protection/>
    </xf>
    <xf numFmtId="165" fontId="52" fillId="0" borderId="42" xfId="0" applyNumberFormat="1" applyFont="1" applyFill="1" applyBorder="1" applyAlignment="1" applyProtection="1">
      <alignment horizontal="center" vertical="center"/>
      <protection/>
    </xf>
    <xf numFmtId="0" fontId="48" fillId="0" borderId="54" xfId="0" applyFont="1" applyFill="1" applyBorder="1" applyAlignment="1" applyProtection="1">
      <alignment vertical="center" wrapText="1"/>
      <protection/>
    </xf>
    <xf numFmtId="165" fontId="52" fillId="0" borderId="54" xfId="0" applyNumberFormat="1" applyFont="1" applyFill="1" applyBorder="1" applyAlignment="1" applyProtection="1">
      <alignment horizontal="center" vertical="center"/>
      <protection/>
    </xf>
    <xf numFmtId="165" fontId="54" fillId="0" borderId="11" xfId="0" applyNumberFormat="1" applyFont="1" applyFill="1" applyBorder="1" applyAlignment="1" applyProtection="1">
      <alignment horizontal="center" vertical="center"/>
      <protection/>
    </xf>
    <xf numFmtId="165" fontId="52" fillId="0" borderId="58" xfId="0" applyNumberFormat="1" applyFont="1" applyFill="1" applyBorder="1" applyAlignment="1" applyProtection="1">
      <alignment horizontal="center" vertical="center"/>
      <protection/>
    </xf>
    <xf numFmtId="165" fontId="52" fillId="0" borderId="55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0" borderId="47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165" fontId="21" fillId="0" borderId="10" xfId="0" applyNumberFormat="1" applyFont="1" applyFill="1" applyBorder="1" applyAlignment="1" applyProtection="1">
      <alignment horizontal="center" vertical="center"/>
      <protection/>
    </xf>
    <xf numFmtId="165" fontId="21" fillId="0" borderId="12" xfId="0" applyNumberFormat="1" applyFont="1" applyFill="1" applyBorder="1" applyAlignment="1" applyProtection="1">
      <alignment horizontal="center" vertical="center"/>
      <protection/>
    </xf>
    <xf numFmtId="165" fontId="52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left" vertical="center" wrapText="1"/>
    </xf>
    <xf numFmtId="3" fontId="11" fillId="0" borderId="47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30" fillId="0" borderId="0" xfId="53" applyNumberFormat="1" applyFont="1" applyFill="1" applyAlignment="1" applyProtection="1">
      <alignment horizontal="right"/>
      <protection hidden="1"/>
    </xf>
    <xf numFmtId="0" fontId="38" fillId="0" borderId="103" xfId="0" applyFont="1" applyFill="1" applyBorder="1" applyAlignment="1">
      <alignment horizontal="center"/>
    </xf>
    <xf numFmtId="0" fontId="38" fillId="0" borderId="104" xfId="0" applyFont="1" applyFill="1" applyBorder="1" applyAlignment="1">
      <alignment horizontal="center"/>
    </xf>
    <xf numFmtId="165" fontId="41" fillId="0" borderId="105" xfId="0" applyNumberFormat="1" applyFont="1" applyFill="1" applyBorder="1" applyAlignment="1">
      <alignment horizontal="center" vertical="center"/>
    </xf>
    <xf numFmtId="165" fontId="41" fillId="0" borderId="106" xfId="0" applyNumberFormat="1" applyFont="1" applyFill="1" applyBorder="1" applyAlignment="1">
      <alignment horizontal="center" vertical="center"/>
    </xf>
    <xf numFmtId="165" fontId="40" fillId="0" borderId="106" xfId="0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vertical="center" wrapText="1"/>
    </xf>
    <xf numFmtId="165" fontId="40" fillId="0" borderId="19" xfId="0" applyNumberFormat="1" applyFont="1" applyFill="1" applyBorder="1" applyAlignment="1">
      <alignment horizontal="center" vertical="center"/>
    </xf>
    <xf numFmtId="165" fontId="40" fillId="0" borderId="107" xfId="0" applyNumberFormat="1" applyFont="1" applyFill="1" applyBorder="1" applyAlignment="1">
      <alignment horizontal="center" vertical="center"/>
    </xf>
    <xf numFmtId="165" fontId="40" fillId="0" borderId="108" xfId="0" applyNumberFormat="1" applyFont="1" applyFill="1" applyBorder="1" applyAlignment="1">
      <alignment horizontal="center" vertical="center"/>
    </xf>
    <xf numFmtId="201" fontId="30" fillId="0" borderId="109" xfId="53" applyNumberFormat="1" applyFont="1" applyFill="1" applyBorder="1" applyAlignment="1" applyProtection="1">
      <alignment horizontal="left" vertical="center" wrapText="1"/>
      <protection hidden="1"/>
    </xf>
    <xf numFmtId="165" fontId="40" fillId="0" borderId="39" xfId="0" applyNumberFormat="1" applyFont="1" applyFill="1" applyBorder="1" applyAlignment="1">
      <alignment horizontal="center" vertical="center"/>
    </xf>
    <xf numFmtId="165" fontId="40" fillId="0" borderId="110" xfId="0" applyNumberFormat="1" applyFont="1" applyFill="1" applyBorder="1" applyAlignment="1">
      <alignment horizontal="center" vertical="center"/>
    </xf>
    <xf numFmtId="0" fontId="30" fillId="0" borderId="111" xfId="53" applyNumberFormat="1" applyFont="1" applyFill="1" applyBorder="1" applyAlignment="1" applyProtection="1">
      <alignment horizontal="left" vertical="center" wrapText="1"/>
      <protection hidden="1"/>
    </xf>
    <xf numFmtId="165" fontId="40" fillId="0" borderId="98" xfId="0" applyNumberFormat="1" applyFont="1" applyFill="1" applyBorder="1" applyAlignment="1">
      <alignment horizontal="center" vertical="center"/>
    </xf>
    <xf numFmtId="165" fontId="40" fillId="0" borderId="112" xfId="0" applyNumberFormat="1" applyFont="1" applyFill="1" applyBorder="1" applyAlignment="1">
      <alignment horizontal="center" vertical="center"/>
    </xf>
    <xf numFmtId="165" fontId="40" fillId="0" borderId="113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vertical="center"/>
    </xf>
    <xf numFmtId="0" fontId="43" fillId="0" borderId="58" xfId="0" applyFont="1" applyFill="1" applyBorder="1" applyAlignment="1">
      <alignment vertical="center" wrapText="1"/>
    </xf>
    <xf numFmtId="165" fontId="40" fillId="0" borderId="114" xfId="0" applyNumberFormat="1" applyFont="1" applyFill="1" applyBorder="1" applyAlignment="1">
      <alignment horizontal="center" vertical="center"/>
    </xf>
    <xf numFmtId="165" fontId="41" fillId="0" borderId="114" xfId="0" applyNumberFormat="1" applyFont="1" applyFill="1" applyBorder="1" applyAlignment="1">
      <alignment horizontal="center" vertical="center"/>
    </xf>
    <xf numFmtId="49" fontId="38" fillId="0" borderId="71" xfId="0" applyNumberFormat="1" applyFont="1" applyFill="1" applyBorder="1" applyAlignment="1">
      <alignment vertical="center"/>
    </xf>
    <xf numFmtId="0" fontId="36" fillId="0" borderId="40" xfId="0" applyFont="1" applyBorder="1" applyAlignment="1">
      <alignment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3" xfId="0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165" fontId="38" fillId="0" borderId="48" xfId="0" applyNumberFormat="1" applyFont="1" applyFill="1" applyBorder="1" applyAlignment="1">
      <alignment horizontal="center" vertical="center"/>
    </xf>
    <xf numFmtId="165" fontId="38" fillId="0" borderId="115" xfId="0" applyNumberFormat="1" applyFont="1" applyFill="1" applyBorder="1" applyAlignment="1">
      <alignment horizontal="center" vertical="center"/>
    </xf>
    <xf numFmtId="165" fontId="38" fillId="0" borderId="11" xfId="0" applyNumberFormat="1" applyFont="1" applyFill="1" applyBorder="1" applyAlignment="1">
      <alignment horizontal="center" vertical="center"/>
    </xf>
    <xf numFmtId="165" fontId="38" fillId="0" borderId="106" xfId="0" applyNumberFormat="1" applyFont="1" applyFill="1" applyBorder="1" applyAlignment="1">
      <alignment horizontal="center" vertical="center"/>
    </xf>
    <xf numFmtId="165" fontId="41" fillId="0" borderId="113" xfId="0" applyNumberFormat="1" applyFont="1" applyFill="1" applyBorder="1" applyAlignment="1">
      <alignment horizontal="center" vertical="center"/>
    </xf>
    <xf numFmtId="0" fontId="36" fillId="0" borderId="116" xfId="53" applyNumberFormat="1" applyFont="1" applyFill="1" applyBorder="1" applyAlignment="1" applyProtection="1">
      <alignment horizontal="left" vertical="center" wrapText="1"/>
      <protection hidden="1"/>
    </xf>
    <xf numFmtId="165" fontId="41" fillId="0" borderId="117" xfId="0" applyNumberFormat="1" applyFont="1" applyFill="1" applyBorder="1" applyAlignment="1">
      <alignment horizontal="center" vertical="center"/>
    </xf>
    <xf numFmtId="165" fontId="86" fillId="0" borderId="0" xfId="0" applyNumberFormat="1" applyFont="1" applyFill="1" applyAlignment="1">
      <alignment/>
    </xf>
    <xf numFmtId="165" fontId="87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23" fillId="0" borderId="54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justify" vertical="center" wrapText="1"/>
    </xf>
    <xf numFmtId="165" fontId="0" fillId="0" borderId="49" xfId="0" applyNumberFormat="1" applyFont="1" applyBorder="1" applyAlignment="1">
      <alignment/>
    </xf>
    <xf numFmtId="4" fontId="29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165" fontId="12" fillId="0" borderId="63" xfId="0" applyNumberFormat="1" applyFont="1" applyFill="1" applyBorder="1" applyAlignment="1" applyProtection="1">
      <alignment horizontal="center" vertical="center" wrapText="1"/>
      <protection/>
    </xf>
    <xf numFmtId="165" fontId="12" fillId="0" borderId="12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55" xfId="0" applyNumberFormat="1" applyFont="1" applyFill="1" applyBorder="1" applyAlignment="1" applyProtection="1">
      <alignment horizontal="center" vertical="center"/>
      <protection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165" fontId="12" fillId="0" borderId="12" xfId="0" applyNumberFormat="1" applyFont="1" applyFill="1" applyBorder="1" applyAlignment="1" applyProtection="1">
      <alignment horizontal="center" vertical="center"/>
      <protection/>
    </xf>
    <xf numFmtId="3" fontId="50" fillId="0" borderId="54" xfId="0" applyNumberFormat="1" applyFont="1" applyFill="1" applyBorder="1" applyAlignment="1">
      <alignment horizontal="center" vertical="center" wrapText="1"/>
    </xf>
    <xf numFmtId="165" fontId="11" fillId="0" borderId="53" xfId="0" applyNumberFormat="1" applyFont="1" applyFill="1" applyBorder="1" applyAlignment="1">
      <alignment horizontal="center" vertical="center" wrapText="1"/>
    </xf>
    <xf numFmtId="165" fontId="49" fillId="0" borderId="53" xfId="0" applyNumberFormat="1" applyFont="1" applyFill="1" applyBorder="1" applyAlignment="1">
      <alignment horizontal="center" vertical="center"/>
    </xf>
    <xf numFmtId="4" fontId="49" fillId="0" borderId="53" xfId="0" applyNumberFormat="1" applyFont="1" applyFill="1" applyBorder="1" applyAlignment="1">
      <alignment horizontal="center" vertical="center"/>
    </xf>
    <xf numFmtId="0" fontId="23" fillId="0" borderId="83" xfId="0" applyFont="1" applyFill="1" applyBorder="1" applyAlignment="1" applyProtection="1">
      <alignment vertical="center" wrapText="1"/>
      <protection/>
    </xf>
    <xf numFmtId="196" fontId="51" fillId="0" borderId="80" xfId="0" applyNumberFormat="1" applyFont="1" applyFill="1" applyBorder="1" applyAlignment="1" applyProtection="1">
      <alignment horizontal="left" vertical="center" wrapText="1"/>
      <protection locked="0"/>
    </xf>
    <xf numFmtId="196" fontId="51" fillId="0" borderId="78" xfId="0" applyNumberFormat="1" applyFont="1" applyFill="1" applyBorder="1" applyAlignment="1" applyProtection="1">
      <alignment horizontal="left" vertical="center" wrapText="1"/>
      <protection locked="0"/>
    </xf>
    <xf numFmtId="196" fontId="51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25" fillId="0" borderId="79" xfId="0" applyNumberFormat="1" applyFont="1" applyFill="1" applyBorder="1" applyAlignment="1" applyProtection="1">
      <alignment horizontal="left"/>
      <protection/>
    </xf>
    <xf numFmtId="0" fontId="26" fillId="0" borderId="71" xfId="0" applyFont="1" applyFill="1" applyBorder="1" applyAlignment="1" applyProtection="1">
      <alignment vertical="center" wrapText="1"/>
      <protection/>
    </xf>
    <xf numFmtId="2" fontId="33" fillId="0" borderId="80" xfId="0" applyNumberFormat="1" applyFont="1" applyFill="1" applyBorder="1" applyAlignment="1" applyProtection="1">
      <alignment horizontal="left" vertical="center" wrapText="1"/>
      <protection/>
    </xf>
    <xf numFmtId="0" fontId="48" fillId="0" borderId="78" xfId="0" applyFont="1" applyFill="1" applyBorder="1" applyAlignment="1" applyProtection="1">
      <alignment horizontal="left" vertical="center" wrapText="1"/>
      <protection/>
    </xf>
    <xf numFmtId="0" fontId="48" fillId="0" borderId="81" xfId="0" applyFont="1" applyFill="1" applyBorder="1" applyAlignment="1" applyProtection="1">
      <alignment horizontal="left" vertical="center" wrapText="1"/>
      <protection/>
    </xf>
    <xf numFmtId="0" fontId="48" fillId="0" borderId="78" xfId="0" applyFont="1" applyFill="1" applyBorder="1" applyAlignment="1" applyProtection="1">
      <alignment vertical="center" wrapText="1"/>
      <protection/>
    </xf>
    <xf numFmtId="0" fontId="13" fillId="0" borderId="80" xfId="0" applyFont="1" applyFill="1" applyBorder="1" applyAlignment="1" applyProtection="1">
      <alignment vertical="center" wrapText="1"/>
      <protection/>
    </xf>
    <xf numFmtId="0" fontId="13" fillId="0" borderId="78" xfId="0" applyFont="1" applyFill="1" applyBorder="1" applyAlignment="1" applyProtection="1">
      <alignment vertical="center" wrapText="1"/>
      <protection/>
    </xf>
    <xf numFmtId="0" fontId="48" fillId="0" borderId="81" xfId="0" applyFont="1" applyFill="1" applyBorder="1" applyAlignment="1" applyProtection="1">
      <alignment vertical="center" wrapText="1"/>
      <protection/>
    </xf>
    <xf numFmtId="0" fontId="48" fillId="0" borderId="80" xfId="0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86" xfId="0" applyFont="1" applyFill="1" applyBorder="1" applyAlignment="1" applyProtection="1">
      <alignment vertical="center" wrapText="1"/>
      <protection/>
    </xf>
    <xf numFmtId="0" fontId="27" fillId="0" borderId="78" xfId="0" applyFont="1" applyFill="1" applyBorder="1" applyAlignment="1" applyProtection="1">
      <alignment horizontal="left" vertical="center" wrapText="1"/>
      <protection/>
    </xf>
    <xf numFmtId="4" fontId="4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81" xfId="0" applyFont="1" applyFill="1" applyBorder="1" applyAlignment="1" applyProtection="1">
      <alignment horizontal="left" vertical="center" wrapText="1"/>
      <protection/>
    </xf>
    <xf numFmtId="4" fontId="45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vertical="center" wrapText="1"/>
      <protection/>
    </xf>
    <xf numFmtId="0" fontId="48" fillId="0" borderId="83" xfId="0" applyFont="1" applyFill="1" applyBorder="1" applyAlignment="1" applyProtection="1">
      <alignment vertical="center" wrapText="1"/>
      <protection/>
    </xf>
    <xf numFmtId="3" fontId="11" fillId="0" borderId="39" xfId="0" applyNumberFormat="1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left" vertical="center" wrapText="1"/>
    </xf>
    <xf numFmtId="3" fontId="11" fillId="0" borderId="53" xfId="0" applyNumberFormat="1" applyFont="1" applyFill="1" applyBorder="1" applyAlignment="1">
      <alignment horizontal="center" vertical="center" wrapText="1"/>
    </xf>
    <xf numFmtId="4" fontId="29" fillId="0" borderId="53" xfId="0" applyNumberFormat="1" applyFont="1" applyFill="1" applyBorder="1" applyAlignment="1">
      <alignment horizontal="center" vertical="center" wrapText="1"/>
    </xf>
    <xf numFmtId="165" fontId="29" fillId="0" borderId="53" xfId="0" applyNumberFormat="1" applyFont="1" applyFill="1" applyBorder="1" applyAlignment="1">
      <alignment horizontal="center" vertical="center" wrapText="1"/>
    </xf>
    <xf numFmtId="201" fontId="30" fillId="0" borderId="80" xfId="53" applyNumberFormat="1" applyFont="1" applyFill="1" applyBorder="1" applyAlignment="1" applyProtection="1">
      <alignment horizontal="left" vertical="center" wrapText="1"/>
      <protection hidden="1"/>
    </xf>
    <xf numFmtId="165" fontId="23" fillId="0" borderId="19" xfId="0" applyNumberFormat="1" applyFont="1" applyFill="1" applyBorder="1" applyAlignment="1" applyProtection="1">
      <alignment horizontal="center" vertical="center"/>
      <protection/>
    </xf>
    <xf numFmtId="165" fontId="23" fillId="0" borderId="63" xfId="0" applyNumberFormat="1" applyFont="1" applyFill="1" applyBorder="1" applyAlignment="1" applyProtection="1">
      <alignment horizontal="center" vertical="center"/>
      <protection/>
    </xf>
    <xf numFmtId="0" fontId="23" fillId="0" borderId="79" xfId="0" applyFont="1" applyFill="1" applyBorder="1" applyAlignment="1" applyProtection="1">
      <alignment horizontal="left" vertical="center" wrapText="1"/>
      <protection/>
    </xf>
    <xf numFmtId="165" fontId="10" fillId="0" borderId="39" xfId="0" applyNumberFormat="1" applyFont="1" applyFill="1" applyBorder="1" applyAlignment="1" applyProtection="1">
      <alignment horizontal="center" vertical="center"/>
      <protection/>
    </xf>
    <xf numFmtId="165" fontId="10" fillId="0" borderId="42" xfId="0" applyNumberFormat="1" applyFont="1" applyFill="1" applyBorder="1" applyAlignment="1" applyProtection="1">
      <alignment horizontal="center" vertical="center"/>
      <protection/>
    </xf>
    <xf numFmtId="165" fontId="45" fillId="0" borderId="42" xfId="0" applyNumberFormat="1" applyFont="1" applyFill="1" applyBorder="1" applyAlignment="1" applyProtection="1">
      <alignment horizontal="center" vertical="center"/>
      <protection/>
    </xf>
    <xf numFmtId="165" fontId="23" fillId="0" borderId="39" xfId="0" applyNumberFormat="1" applyFont="1" applyFill="1" applyBorder="1" applyAlignment="1" applyProtection="1">
      <alignment horizontal="center" vertical="center"/>
      <protection/>
    </xf>
    <xf numFmtId="165" fontId="45" fillId="0" borderId="54" xfId="0" applyNumberFormat="1" applyFont="1" applyFill="1" applyBorder="1" applyAlignment="1" applyProtection="1">
      <alignment horizontal="center" vertical="center"/>
      <protection/>
    </xf>
    <xf numFmtId="165" fontId="52" fillId="0" borderId="39" xfId="0" applyNumberFormat="1" applyFont="1" applyFill="1" applyBorder="1" applyAlignment="1" applyProtection="1">
      <alignment horizontal="center" vertical="center"/>
      <protection/>
    </xf>
    <xf numFmtId="165" fontId="23" fillId="0" borderId="42" xfId="0" applyNumberFormat="1" applyFont="1" applyFill="1" applyBorder="1" applyAlignment="1" applyProtection="1">
      <alignment horizontal="center" vertical="center"/>
      <protection/>
    </xf>
    <xf numFmtId="165" fontId="17" fillId="0" borderId="75" xfId="0" applyNumberFormat="1" applyFont="1" applyFill="1" applyBorder="1" applyAlignment="1" applyProtection="1">
      <alignment horizontal="center" vertical="center"/>
      <protection/>
    </xf>
    <xf numFmtId="0" fontId="23" fillId="0" borderId="82" xfId="0" applyFont="1" applyFill="1" applyBorder="1" applyAlignment="1" applyProtection="1">
      <alignment vertical="center" wrapText="1"/>
      <protection/>
    </xf>
    <xf numFmtId="0" fontId="23" fillId="24" borderId="81" xfId="0" applyFont="1" applyFill="1" applyBorder="1" applyAlignment="1" applyProtection="1">
      <alignment vertical="center" wrapText="1"/>
      <protection/>
    </xf>
    <xf numFmtId="4" fontId="40" fillId="0" borderId="89" xfId="0" applyNumberFormat="1" applyFont="1" applyFill="1" applyBorder="1" applyAlignment="1">
      <alignment horizontal="center" vertical="center"/>
    </xf>
    <xf numFmtId="165" fontId="13" fillId="0" borderId="54" xfId="0" applyNumberFormat="1" applyFont="1" applyFill="1" applyBorder="1" applyAlignment="1" applyProtection="1">
      <alignment horizontal="center" vertical="center"/>
      <protection/>
    </xf>
    <xf numFmtId="165" fontId="7" fillId="0" borderId="54" xfId="0" applyNumberFormat="1" applyFont="1" applyFill="1" applyBorder="1" applyAlignment="1" applyProtection="1">
      <alignment horizontal="center" vertical="center"/>
      <protection/>
    </xf>
    <xf numFmtId="165" fontId="17" fillId="0" borderId="19" xfId="0" applyNumberFormat="1" applyFont="1" applyFill="1" applyBorder="1" applyAlignment="1">
      <alignment horizontal="center" vertical="center"/>
    </xf>
    <xf numFmtId="0" fontId="38" fillId="0" borderId="119" xfId="0" applyFont="1" applyFill="1" applyBorder="1" applyAlignment="1">
      <alignment horizontal="right" vertical="center"/>
    </xf>
    <xf numFmtId="49" fontId="38" fillId="0" borderId="86" xfId="0" applyNumberFormat="1" applyFont="1" applyFill="1" applyBorder="1" applyAlignment="1">
      <alignment horizontal="center" vertical="center"/>
    </xf>
    <xf numFmtId="49" fontId="38" fillId="0" borderId="48" xfId="0" applyNumberFormat="1" applyFont="1" applyFill="1" applyBorder="1" applyAlignment="1">
      <alignment horizontal="center" vertical="center"/>
    </xf>
    <xf numFmtId="49" fontId="38" fillId="0" borderId="54" xfId="0" applyNumberFormat="1" applyFont="1" applyFill="1" applyBorder="1" applyAlignment="1">
      <alignment horizontal="center" vertical="center"/>
    </xf>
    <xf numFmtId="49" fontId="38" fillId="0" borderId="18" xfId="0" applyNumberFormat="1" applyFont="1" applyFill="1" applyBorder="1" applyAlignment="1">
      <alignment horizontal="center" vertical="center"/>
    </xf>
    <xf numFmtId="49" fontId="38" fillId="0" borderId="62" xfId="0" applyNumberFormat="1" applyFont="1" applyFill="1" applyBorder="1" applyAlignment="1">
      <alignment horizontal="center" vertical="center"/>
    </xf>
    <xf numFmtId="49" fontId="38" fillId="0" borderId="93" xfId="0" applyNumberFormat="1" applyFont="1" applyFill="1" applyBorder="1" applyAlignment="1">
      <alignment horizontal="center" vertical="center"/>
    </xf>
    <xf numFmtId="49" fontId="38" fillId="0" borderId="91" xfId="0" applyNumberFormat="1" applyFont="1" applyFill="1" applyBorder="1" applyAlignment="1">
      <alignment horizontal="center" vertical="center"/>
    </xf>
    <xf numFmtId="49" fontId="38" fillId="0" borderId="120" xfId="0" applyNumberFormat="1" applyFont="1" applyFill="1" applyBorder="1" applyAlignment="1">
      <alignment horizontal="center" vertical="center"/>
    </xf>
    <xf numFmtId="49" fontId="38" fillId="0" borderId="121" xfId="0" applyNumberFormat="1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 wrapText="1"/>
    </xf>
    <xf numFmtId="0" fontId="39" fillId="0" borderId="122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123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right" vertical="center"/>
    </xf>
    <xf numFmtId="0" fontId="38" fillId="0" borderId="87" xfId="0" applyFont="1" applyFill="1" applyBorder="1" applyAlignment="1">
      <alignment horizontal="right" vertical="center"/>
    </xf>
    <xf numFmtId="49" fontId="38" fillId="0" borderId="119" xfId="0" applyNumberFormat="1" applyFont="1" applyFill="1" applyBorder="1" applyAlignment="1">
      <alignment horizontal="right" vertical="center"/>
    </xf>
    <xf numFmtId="0" fontId="38" fillId="0" borderId="124" xfId="0" applyFont="1" applyFill="1" applyBorder="1" applyAlignment="1">
      <alignment horizontal="center" vertical="center" wrapText="1"/>
    </xf>
    <xf numFmtId="0" fontId="38" fillId="0" borderId="125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49" fontId="38" fillId="0" borderId="61" xfId="0" applyNumberFormat="1" applyFont="1" applyFill="1" applyBorder="1" applyAlignment="1">
      <alignment horizontal="center" vertical="center"/>
    </xf>
    <xf numFmtId="49" fontId="38" fillId="0" borderId="83" xfId="0" applyNumberFormat="1" applyFont="1" applyFill="1" applyBorder="1" applyAlignment="1">
      <alignment horizontal="center" vertical="center"/>
    </xf>
    <xf numFmtId="0" fontId="41" fillId="0" borderId="120" xfId="0" applyFont="1" applyFill="1" applyBorder="1" applyAlignment="1">
      <alignment horizontal="right" vertical="center"/>
    </xf>
    <xf numFmtId="0" fontId="41" fillId="0" borderId="121" xfId="0" applyFont="1" applyFill="1" applyBorder="1" applyAlignment="1">
      <alignment horizontal="right" vertical="center"/>
    </xf>
    <xf numFmtId="49" fontId="38" fillId="0" borderId="65" xfId="0" applyNumberFormat="1" applyFont="1" applyFill="1" applyBorder="1" applyAlignment="1">
      <alignment horizontal="right" vertical="center"/>
    </xf>
    <xf numFmtId="49" fontId="38" fillId="0" borderId="87" xfId="0" applyNumberFormat="1" applyFont="1" applyFill="1" applyBorder="1" applyAlignment="1">
      <alignment horizontal="right" vertical="center"/>
    </xf>
    <xf numFmtId="0" fontId="41" fillId="0" borderId="65" xfId="0" applyFont="1" applyFill="1" applyBorder="1" applyAlignment="1">
      <alignment horizontal="right" vertical="center"/>
    </xf>
    <xf numFmtId="0" fontId="41" fillId="0" borderId="119" xfId="0" applyFont="1" applyFill="1" applyBorder="1" applyAlignment="1">
      <alignment horizontal="right" vertical="center"/>
    </xf>
    <xf numFmtId="49" fontId="39" fillId="0" borderId="61" xfId="0" applyNumberFormat="1" applyFont="1" applyFill="1" applyBorder="1" applyAlignment="1">
      <alignment horizontal="center" vertical="center"/>
    </xf>
    <xf numFmtId="49" fontId="39" fillId="0" borderId="83" xfId="0" applyNumberFormat="1" applyFont="1" applyFill="1" applyBorder="1" applyAlignment="1">
      <alignment horizontal="center" vertical="center"/>
    </xf>
    <xf numFmtId="49" fontId="38" fillId="0" borderId="65" xfId="0" applyNumberFormat="1" applyFont="1" applyFill="1" applyBorder="1" applyAlignment="1">
      <alignment horizontal="center" vertical="center"/>
    </xf>
    <xf numFmtId="49" fontId="38" fillId="0" borderId="119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1" fillId="0" borderId="0" xfId="0" applyFont="1" applyFill="1" applyAlignment="1">
      <alignment horizont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62" xfId="0" applyNumberFormat="1" applyFont="1" applyFill="1" applyBorder="1" applyAlignment="1">
      <alignment horizontal="center" vertical="center"/>
    </xf>
    <xf numFmtId="49" fontId="39" fillId="0" borderId="91" xfId="0" applyNumberFormat="1" applyFont="1" applyFill="1" applyBorder="1" applyAlignment="1">
      <alignment horizontal="center" vertical="center"/>
    </xf>
    <xf numFmtId="0" fontId="30" fillId="0" borderId="0" xfId="53" applyNumberFormat="1" applyFont="1" applyFill="1" applyAlignment="1" applyProtection="1">
      <alignment horizontal="right" vertical="center" wrapText="1"/>
      <protection hidden="1"/>
    </xf>
    <xf numFmtId="49" fontId="38" fillId="0" borderId="4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0" xfId="53" applyNumberFormat="1" applyFont="1" applyFill="1" applyAlignment="1" applyProtection="1">
      <alignment horizontal="center" vertical="center" wrapText="1"/>
      <protection hidden="1"/>
    </xf>
    <xf numFmtId="0" fontId="40" fillId="0" borderId="126" xfId="0" applyFont="1" applyFill="1" applyBorder="1" applyAlignment="1">
      <alignment horizontal="center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0" fillId="0" borderId="127" xfId="0" applyFont="1" applyFill="1" applyBorder="1" applyAlignment="1">
      <alignment horizontal="center" vertical="center" wrapText="1"/>
    </xf>
    <xf numFmtId="0" fontId="30" fillId="0" borderId="128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18" fillId="0" borderId="0" xfId="63" applyFont="1" applyFill="1" applyAlignment="1">
      <alignment horizontal="center"/>
      <protection/>
    </xf>
    <xf numFmtId="0" fontId="19" fillId="0" borderId="0" xfId="63" applyFont="1" applyFill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3" fillId="0" borderId="129" xfId="0" applyNumberFormat="1" applyFont="1" applyFill="1" applyBorder="1" applyAlignment="1" applyProtection="1">
      <alignment horizontal="center" vertical="center" wrapText="1"/>
      <protection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9" fontId="13" fillId="0" borderId="98" xfId="0" applyNumberFormat="1" applyFont="1" applyFill="1" applyBorder="1" applyAlignment="1" applyProtection="1">
      <alignment horizontal="center" vertical="center" wrapText="1"/>
      <protection/>
    </xf>
    <xf numFmtId="169" fontId="13" fillId="0" borderId="26" xfId="0" applyNumberFormat="1" applyFont="1" applyFill="1" applyBorder="1" applyAlignment="1" applyProtection="1">
      <alignment horizontal="center" vertical="center" wrapText="1"/>
      <protection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165" fontId="7" fillId="0" borderId="40" xfId="0" applyNumberFormat="1" applyFont="1" applyFill="1" applyBorder="1" applyAlignment="1" applyProtection="1">
      <alignment horizontal="center" vertical="center"/>
      <protection/>
    </xf>
    <xf numFmtId="165" fontId="13" fillId="0" borderId="98" xfId="0" applyNumberFormat="1" applyFont="1" applyFill="1" applyBorder="1" applyAlignment="1" applyProtection="1">
      <alignment horizontal="center" vertical="center"/>
      <protection/>
    </xf>
    <xf numFmtId="165" fontId="13" fillId="0" borderId="26" xfId="0" applyNumberFormat="1" applyFont="1" applyFill="1" applyBorder="1" applyAlignment="1" applyProtection="1">
      <alignment horizontal="center" vertical="center"/>
      <protection/>
    </xf>
    <xf numFmtId="165" fontId="13" fillId="0" borderId="98" xfId="0" applyNumberFormat="1" applyFont="1" applyFill="1" applyBorder="1" applyAlignment="1" applyProtection="1">
      <alignment horizontal="center" vertical="center" wrapText="1"/>
      <protection/>
    </xf>
    <xf numFmtId="165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98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169" fontId="13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Border="1" applyAlignment="1">
      <alignment horizontal="center" vertical="center" wrapText="1"/>
    </xf>
    <xf numFmtId="0" fontId="13" fillId="0" borderId="98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7" fillId="0" borderId="48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9" xfId="0" applyFont="1" applyFill="1" applyBorder="1" applyAlignment="1" applyProtection="1">
      <alignment horizontal="center" vertical="center" wrapText="1"/>
      <protection/>
    </xf>
    <xf numFmtId="0" fontId="8" fillId="0" borderId="98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9" fillId="0" borderId="129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76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29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5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76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0" fontId="10" fillId="0" borderId="129" xfId="0" applyFont="1" applyFill="1" applyBorder="1" applyAlignment="1" applyProtection="1">
      <alignment horizontal="center" vertical="center" wrapText="1"/>
      <protection/>
    </xf>
    <xf numFmtId="0" fontId="7" fillId="25" borderId="122" xfId="0" applyFont="1" applyFill="1" applyBorder="1" applyAlignment="1" applyProtection="1">
      <alignment horizontal="center" vertical="center" wrapText="1"/>
      <protection/>
    </xf>
    <xf numFmtId="0" fontId="7" fillId="25" borderId="131" xfId="0" applyFont="1" applyFill="1" applyBorder="1" applyAlignment="1" applyProtection="1">
      <alignment horizontal="center" vertical="center" wrapText="1"/>
      <protection/>
    </xf>
    <xf numFmtId="0" fontId="7" fillId="25" borderId="68" xfId="0" applyFont="1" applyFill="1" applyBorder="1" applyAlignment="1" applyProtection="1">
      <alignment horizontal="center" vertical="center" wrapText="1"/>
      <protection/>
    </xf>
    <xf numFmtId="0" fontId="18" fillId="0" borderId="0" xfId="63" applyFont="1" applyFill="1" applyAlignment="1">
      <alignment horizontal="center" wrapText="1"/>
      <protection/>
    </xf>
    <xf numFmtId="0" fontId="7" fillId="0" borderId="132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23" fillId="25" borderId="51" xfId="0" applyFont="1" applyFill="1" applyBorder="1" applyAlignment="1" applyProtection="1">
      <alignment horizontal="center" vertical="center" wrapText="1"/>
      <protection/>
    </xf>
    <xf numFmtId="0" fontId="23" fillId="25" borderId="11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129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25" borderId="69" xfId="0" applyFont="1" applyFill="1" applyBorder="1" applyAlignment="1" applyProtection="1">
      <alignment horizontal="center" vertical="center" wrapText="1"/>
      <protection/>
    </xf>
    <xf numFmtId="0" fontId="7" fillId="25" borderId="71" xfId="0" applyFont="1" applyFill="1" applyBorder="1" applyAlignment="1" applyProtection="1">
      <alignment horizontal="center" vertical="center" wrapText="1"/>
      <protection/>
    </xf>
    <xf numFmtId="165" fontId="41" fillId="0" borderId="89" xfId="0" applyNumberFormat="1" applyFont="1" applyFill="1" applyBorder="1" applyAlignment="1">
      <alignment horizontal="center" vertical="center"/>
    </xf>
    <xf numFmtId="165" fontId="41" fillId="0" borderId="7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8" fillId="0" borderId="133" xfId="0" applyFont="1" applyFill="1" applyBorder="1" applyAlignment="1">
      <alignment horizontal="center" vertical="center" wrapText="1"/>
    </xf>
    <xf numFmtId="0" fontId="38" fillId="0" borderId="134" xfId="0" applyFont="1" applyFill="1" applyBorder="1" applyAlignment="1">
      <alignment horizontal="center" vertical="center" wrapText="1"/>
    </xf>
    <xf numFmtId="0" fontId="40" fillId="0" borderId="135" xfId="0" applyFont="1" applyFill="1" applyBorder="1" applyAlignment="1">
      <alignment horizontal="center"/>
    </xf>
    <xf numFmtId="0" fontId="38" fillId="0" borderId="88" xfId="0" applyFont="1" applyFill="1" applyBorder="1" applyAlignment="1">
      <alignment vertical="center" wrapText="1"/>
    </xf>
    <xf numFmtId="0" fontId="38" fillId="0" borderId="90" xfId="0" applyFont="1" applyFill="1" applyBorder="1" applyAlignment="1">
      <alignment vertical="center" wrapText="1"/>
    </xf>
    <xf numFmtId="0" fontId="30" fillId="0" borderId="52" xfId="53" applyNumberFormat="1" applyFont="1" applyFill="1" applyBorder="1" applyAlignment="1" applyProtection="1">
      <alignment horizontal="left" vertical="center" wrapText="1"/>
      <protection hidden="1"/>
    </xf>
    <xf numFmtId="0" fontId="43" fillId="0" borderId="90" xfId="0" applyFont="1" applyFill="1" applyBorder="1" applyAlignment="1">
      <alignment vertical="center" wrapText="1"/>
    </xf>
    <xf numFmtId="0" fontId="36" fillId="0" borderId="62" xfId="0" applyFont="1" applyFill="1" applyBorder="1" applyAlignment="1">
      <alignment vertical="center" wrapText="1"/>
    </xf>
    <xf numFmtId="0" fontId="30" fillId="0" borderId="62" xfId="0" applyFont="1" applyFill="1" applyBorder="1" applyAlignment="1">
      <alignment vertical="center" wrapText="1"/>
    </xf>
    <xf numFmtId="0" fontId="30" fillId="0" borderId="52" xfId="0" applyFont="1" applyFill="1" applyBorder="1" applyAlignment="1">
      <alignment vertical="center" wrapText="1"/>
    </xf>
    <xf numFmtId="0" fontId="27" fillId="0" borderId="12" xfId="56" applyFont="1" applyFill="1" applyBorder="1" applyAlignment="1">
      <alignment horizontal="left" vertical="center" wrapText="1"/>
      <protection/>
    </xf>
    <xf numFmtId="0" fontId="27" fillId="0" borderId="58" xfId="0" applyFont="1" applyFill="1" applyBorder="1" applyAlignment="1">
      <alignment horizontal="justify" vertical="center" wrapText="1"/>
    </xf>
    <xf numFmtId="0" fontId="18" fillId="0" borderId="0" xfId="63" applyFont="1" applyFill="1" applyAlignment="1">
      <alignment wrapText="1"/>
      <protection/>
    </xf>
    <xf numFmtId="0" fontId="57" fillId="0" borderId="57" xfId="0" applyFont="1" applyFill="1" applyBorder="1" applyAlignment="1">
      <alignment horizontal="center" wrapText="1"/>
    </xf>
    <xf numFmtId="0" fontId="0" fillId="0" borderId="57" xfId="0" applyFill="1" applyBorder="1" applyAlignment="1">
      <alignment horizontal="center" vertical="center"/>
    </xf>
    <xf numFmtId="167" fontId="0" fillId="0" borderId="57" xfId="0" applyNumberFormat="1" applyFill="1" applyBorder="1" applyAlignment="1">
      <alignment horizontal="center" vertical="center"/>
    </xf>
    <xf numFmtId="165" fontId="60" fillId="0" borderId="0" xfId="0" applyNumberFormat="1" applyFont="1" applyFill="1" applyAlignment="1">
      <alignment/>
    </xf>
    <xf numFmtId="165" fontId="17" fillId="0" borderId="0" xfId="0" applyNumberFormat="1" applyFont="1" applyFill="1" applyBorder="1" applyAlignment="1">
      <alignment horizontal="center" vertical="center" wrapText="1"/>
    </xf>
    <xf numFmtId="196" fontId="51" fillId="0" borderId="47" xfId="0" applyNumberFormat="1" applyFont="1" applyFill="1" applyBorder="1" applyAlignment="1" applyProtection="1">
      <alignment horizontal="left" vertical="center" wrapText="1"/>
      <protection locked="0"/>
    </xf>
    <xf numFmtId="2" fontId="25" fillId="0" borderId="39" xfId="0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Приложение 16 изменения на 2012 год по Камню на Оби" xfId="55"/>
    <cellStyle name="Обычный_План ПИР-2009 ( тех.отд.) с ДЕНЬГАМИ (для Громенко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3190875</xdr:colOff>
      <xdr:row>53</xdr:row>
      <xdr:rowOff>0</xdr:rowOff>
    </xdr:from>
    <xdr:to>
      <xdr:col>1</xdr:col>
      <xdr:colOff>2657475</xdr:colOff>
      <xdr:row>53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3495675" y="1471612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371975" y="147161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371975" y="14716125"/>
          <a:ext cx="0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2657475</xdr:colOff>
      <xdr:row>92</xdr:row>
      <xdr:rowOff>0</xdr:rowOff>
    </xdr:from>
    <xdr:to>
      <xdr:col>1</xdr:col>
      <xdr:colOff>2657475</xdr:colOff>
      <xdr:row>92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962275" y="2315527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324225" y="23155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>
      <xdr:nvSpPr>
        <xdr:cNvPr id="3" name="Rectangle 7"/>
        <xdr:cNvSpPr>
          <a:spLocks/>
        </xdr:cNvSpPr>
      </xdr:nvSpPr>
      <xdr:spPr>
        <a:xfrm>
          <a:off x="3324225" y="23155275"/>
          <a:ext cx="0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73;&#1102;&#1076;&#1078;&#1077;&#1090;%202011\&#1092;&#1086;&#1088;&#1084;&#1080;&#1088;&#1086;&#1074;&#1072;&#1085;&#1080;&#1077;%20&#1073;&#1102;&#1076;&#1078;&#1077;&#1090;&#1072;\&#1086;&#1090;&#1087;&#1088;&#1072;&#1074;&#1083;&#1077;&#1085;&#1085;&#1099;&#1081;%20&#1074;%20&#1084;&#1080;&#1085;&#1080;&#1089;&#1090;&#1077;&#1088;&#1089;&#1090;&#1074;&#1086;\&#1087;&#1088;&#1086;&#1077;&#1082;&#1090;%20&#1073;&#1102;&#1076;&#1078;&#1077;&#1090;&#1072;%2001.08.201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6%20&#1087;&#1088;&#1086;&#1077;&#1082;&#1090;_&#1082;&#1086;%20&#1074;&#1090;&#1086;&#1088;&#1086;&#1084;&#1091;%20&#1095;&#1090;&#1077;&#1085;&#1080;&#1102;%20&#1089;%20&#1087;&#1086;&#1087;&#1088;&#1072;&#1074;&#1082;&#1086;&#1081;%20&#1052;&#1060;%20&#1053;&#1057;&#1054;_&#1087;&#1088;&#1080;&#1085;&#1103;&#1090;&#1086;&#1077;%200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.5 стр-во 2010-2012"/>
      <sheetName val="т.6 к.рем. 2010-2012"/>
      <sheetName val="т.7 рем.2010-2012"/>
    </sheetNames>
    <sheetDataSet>
      <sheetData sheetId="1">
        <row r="154">
          <cell r="U154">
            <v>260686.1</v>
          </cell>
          <cell r="V154">
            <v>948290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"/>
      <sheetName val="табл.2 - 2012"/>
      <sheetName val="табл.3 - 2013"/>
      <sheetName val="табл.4 - 2014"/>
      <sheetName val="т.5 стр-во 2012-2014"/>
      <sheetName val="т.6 к.рем. 2012-2014"/>
      <sheetName val="т.7 рем.2012-2014"/>
    </sheetNames>
    <sheetDataSet>
      <sheetData sheetId="6">
        <row r="11">
          <cell r="C11">
            <v>4</v>
          </cell>
        </row>
        <row r="16">
          <cell r="C16">
            <v>6.2</v>
          </cell>
          <cell r="F16">
            <v>4</v>
          </cell>
          <cell r="I16">
            <v>20</v>
          </cell>
        </row>
        <row r="26">
          <cell r="F26">
            <v>4.95</v>
          </cell>
          <cell r="I26">
            <v>1.2</v>
          </cell>
        </row>
        <row r="36">
          <cell r="C36">
            <v>9</v>
          </cell>
          <cell r="F36">
            <v>5</v>
          </cell>
        </row>
        <row r="42">
          <cell r="F42">
            <v>3.5</v>
          </cell>
          <cell r="I42">
            <v>3</v>
          </cell>
        </row>
        <row r="48">
          <cell r="C48">
            <v>1.34</v>
          </cell>
          <cell r="F48">
            <v>4</v>
          </cell>
          <cell r="I48">
            <v>4</v>
          </cell>
        </row>
        <row r="54">
          <cell r="F54">
            <v>2.3</v>
          </cell>
          <cell r="I54">
            <v>3</v>
          </cell>
        </row>
        <row r="59">
          <cell r="C59">
            <v>0.825</v>
          </cell>
          <cell r="F59">
            <v>1.9</v>
          </cell>
        </row>
        <row r="66">
          <cell r="C66">
            <v>3</v>
          </cell>
          <cell r="F66">
            <v>3.5</v>
          </cell>
          <cell r="I66">
            <v>3</v>
          </cell>
        </row>
        <row r="67">
          <cell r="C67">
            <v>2.74</v>
          </cell>
          <cell r="F67">
            <v>4</v>
          </cell>
          <cell r="I67">
            <v>4</v>
          </cell>
        </row>
        <row r="69">
          <cell r="C69">
            <v>3.16</v>
          </cell>
          <cell r="F69">
            <v>1.72</v>
          </cell>
          <cell r="I69">
            <v>2</v>
          </cell>
        </row>
        <row r="74">
          <cell r="C74">
            <v>5</v>
          </cell>
          <cell r="F74">
            <v>3.2</v>
          </cell>
        </row>
        <row r="83">
          <cell r="F83">
            <v>3.9</v>
          </cell>
        </row>
        <row r="85">
          <cell r="F85">
            <v>4</v>
          </cell>
        </row>
        <row r="86">
          <cell r="C86">
            <v>5.1</v>
          </cell>
          <cell r="F86">
            <v>4.1</v>
          </cell>
          <cell r="I86">
            <v>4</v>
          </cell>
        </row>
        <row r="99">
          <cell r="F99">
            <v>2.58</v>
          </cell>
        </row>
        <row r="112">
          <cell r="J112">
            <v>821489.8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0"/>
  <sheetViews>
    <sheetView showZeros="0" tabSelected="1" zoomScale="75" zoomScaleNormal="75" zoomScaleSheetLayoutView="75" zoomScalePageLayoutView="0" workbookViewId="0" topLeftCell="A1">
      <selection activeCell="E37" sqref="E37"/>
    </sheetView>
  </sheetViews>
  <sheetFormatPr defaultColWidth="9.00390625" defaultRowHeight="12.75"/>
  <cols>
    <col min="1" max="1" width="6.875" style="138" customWidth="1"/>
    <col min="2" max="2" width="8.125" style="138" customWidth="1"/>
    <col min="3" max="3" width="9.625" style="138" customWidth="1"/>
    <col min="4" max="4" width="6.75390625" style="138" customWidth="1"/>
    <col min="5" max="5" width="65.75390625" style="138" customWidth="1"/>
    <col min="6" max="6" width="19.75390625" style="138" customWidth="1"/>
    <col min="7" max="16384" width="9.125" style="138" customWidth="1"/>
  </cols>
  <sheetData>
    <row r="2" ht="20.25" customHeight="1"/>
    <row r="3" spans="5:6" ht="45.75" customHeight="1">
      <c r="E3" s="886" t="s">
        <v>190</v>
      </c>
      <c r="F3" s="886"/>
    </row>
    <row r="4" spans="1:6" ht="21" customHeight="1">
      <c r="A4" s="330"/>
      <c r="B4" s="330"/>
      <c r="C4" s="330"/>
      <c r="D4" s="330"/>
      <c r="E4" s="330"/>
      <c r="F4" s="330"/>
    </row>
    <row r="5" spans="1:6" ht="38.25" customHeight="1">
      <c r="A5" s="889" t="s">
        <v>183</v>
      </c>
      <c r="B5" s="889"/>
      <c r="C5" s="889"/>
      <c r="D5" s="889"/>
      <c r="E5" s="889"/>
      <c r="F5" s="889"/>
    </row>
    <row r="6" spans="1:6" ht="21.75" customHeight="1" thickBot="1">
      <c r="A6" s="139"/>
      <c r="B6" s="139"/>
      <c r="C6" s="139"/>
      <c r="D6" s="139"/>
      <c r="E6" s="139"/>
      <c r="F6" s="139"/>
    </row>
    <row r="7" spans="1:6" ht="31.5" customHeight="1">
      <c r="A7" s="865" t="s">
        <v>156</v>
      </c>
      <c r="B7" s="867" t="s">
        <v>157</v>
      </c>
      <c r="C7" s="857"/>
      <c r="D7" s="858"/>
      <c r="E7" s="891" t="s">
        <v>158</v>
      </c>
      <c r="F7" s="996" t="s">
        <v>410</v>
      </c>
    </row>
    <row r="8" spans="1:6" ht="35.25" customHeight="1" thickBot="1">
      <c r="A8" s="866"/>
      <c r="B8" s="859"/>
      <c r="C8" s="860"/>
      <c r="D8" s="861"/>
      <c r="E8" s="892"/>
      <c r="F8" s="997"/>
    </row>
    <row r="9" spans="1:6" ht="16.5" customHeight="1" thickBot="1">
      <c r="A9" s="141">
        <v>1</v>
      </c>
      <c r="B9" s="890">
        <v>2</v>
      </c>
      <c r="C9" s="890"/>
      <c r="D9" s="890"/>
      <c r="E9" s="142">
        <v>3</v>
      </c>
      <c r="F9" s="998"/>
    </row>
    <row r="10" spans="1:6" ht="30" customHeight="1">
      <c r="A10" s="364"/>
      <c r="B10" s="350" t="s">
        <v>159</v>
      </c>
      <c r="C10" s="351" t="s">
        <v>160</v>
      </c>
      <c r="D10" s="352" t="s">
        <v>161</v>
      </c>
      <c r="E10" s="340" t="s">
        <v>162</v>
      </c>
      <c r="F10" s="522">
        <f>F11+F42+F44+F46</f>
        <v>5859035.7020000005</v>
      </c>
    </row>
    <row r="11" spans="1:6" ht="34.5" customHeight="1">
      <c r="A11" s="331">
        <v>1</v>
      </c>
      <c r="B11" s="353"/>
      <c r="C11" s="144"/>
      <c r="D11" s="354"/>
      <c r="E11" s="341" t="s">
        <v>180</v>
      </c>
      <c r="F11" s="523">
        <f>F12+F20+F35+F39</f>
        <v>5630920.402000001</v>
      </c>
    </row>
    <row r="12" spans="1:6" s="148" customFormat="1" ht="33">
      <c r="A12" s="332" t="s">
        <v>375</v>
      </c>
      <c r="B12" s="355"/>
      <c r="C12" s="146"/>
      <c r="D12" s="356"/>
      <c r="E12" s="341" t="s">
        <v>181</v>
      </c>
      <c r="F12" s="524">
        <f>F13+F17</f>
        <v>2133105.2</v>
      </c>
    </row>
    <row r="13" spans="1:6" ht="65.25" customHeight="1">
      <c r="A13" s="862" t="s">
        <v>376</v>
      </c>
      <c r="B13" s="868" t="s">
        <v>164</v>
      </c>
      <c r="C13" s="849" t="s">
        <v>355</v>
      </c>
      <c r="D13" s="852" t="s">
        <v>165</v>
      </c>
      <c r="E13" s="542" t="s">
        <v>357</v>
      </c>
      <c r="F13" s="843">
        <v>1691835.2</v>
      </c>
    </row>
    <row r="14" spans="1:6" ht="16.5" hidden="1">
      <c r="A14" s="863"/>
      <c r="B14" s="848"/>
      <c r="C14" s="850"/>
      <c r="D14" s="853"/>
      <c r="E14" s="545" t="s">
        <v>105</v>
      </c>
      <c r="F14" s="999"/>
    </row>
    <row r="15" spans="1:6" ht="16.5" hidden="1">
      <c r="A15" s="847"/>
      <c r="B15" s="869"/>
      <c r="C15" s="851"/>
      <c r="D15" s="854"/>
      <c r="E15" s="545" t="s">
        <v>134</v>
      </c>
      <c r="F15" s="999"/>
    </row>
    <row r="16" spans="1:6" ht="16.5" hidden="1">
      <c r="A16" s="521"/>
      <c r="B16" s="520"/>
      <c r="C16" s="532"/>
      <c r="D16" s="531"/>
      <c r="E16" s="327" t="s">
        <v>167</v>
      </c>
      <c r="F16" s="1000"/>
    </row>
    <row r="17" spans="1:6" ht="52.5" customHeight="1">
      <c r="A17" s="329" t="s">
        <v>377</v>
      </c>
      <c r="B17" s="300" t="s">
        <v>164</v>
      </c>
      <c r="C17" s="149" t="s">
        <v>408</v>
      </c>
      <c r="D17" s="301" t="s">
        <v>165</v>
      </c>
      <c r="E17" s="829" t="s">
        <v>363</v>
      </c>
      <c r="F17" s="527">
        <v>441270</v>
      </c>
    </row>
    <row r="18" spans="1:6" ht="16.5" hidden="1">
      <c r="A18" s="521"/>
      <c r="B18" s="520"/>
      <c r="C18" s="532"/>
      <c r="D18" s="531"/>
      <c r="E18" s="327" t="s">
        <v>167</v>
      </c>
      <c r="F18" s="1000"/>
    </row>
    <row r="19" spans="1:6" ht="47.25" hidden="1">
      <c r="A19" s="333" t="s">
        <v>184</v>
      </c>
      <c r="B19" s="300" t="s">
        <v>164</v>
      </c>
      <c r="C19" s="149" t="s">
        <v>185</v>
      </c>
      <c r="D19" s="301" t="s">
        <v>165</v>
      </c>
      <c r="E19" s="519" t="s">
        <v>186</v>
      </c>
      <c r="F19" s="1001"/>
    </row>
    <row r="20" spans="1:6" ht="40.5" customHeight="1">
      <c r="A20" s="334" t="s">
        <v>378</v>
      </c>
      <c r="B20" s="357"/>
      <c r="C20" s="153"/>
      <c r="D20" s="358"/>
      <c r="E20" s="343" t="s">
        <v>166</v>
      </c>
      <c r="F20" s="524">
        <f>F21+F25+F28+F30+F32+F33+F27</f>
        <v>2032314.6020000002</v>
      </c>
    </row>
    <row r="21" spans="1:6" ht="66">
      <c r="A21" s="872" t="s">
        <v>379</v>
      </c>
      <c r="B21" s="868" t="s">
        <v>164</v>
      </c>
      <c r="C21" s="849" t="s">
        <v>355</v>
      </c>
      <c r="D21" s="852" t="s">
        <v>187</v>
      </c>
      <c r="E21" s="344" t="s">
        <v>358</v>
      </c>
      <c r="F21" s="843">
        <v>694533.2</v>
      </c>
    </row>
    <row r="22" spans="1:6" ht="16.5" hidden="1">
      <c r="A22" s="873"/>
      <c r="B22" s="848"/>
      <c r="C22" s="850"/>
      <c r="D22" s="853"/>
      <c r="E22" s="345" t="s">
        <v>105</v>
      </c>
      <c r="F22" s="526"/>
    </row>
    <row r="23" spans="1:6" ht="16.5" hidden="1">
      <c r="A23" s="873"/>
      <c r="B23" s="848"/>
      <c r="C23" s="850"/>
      <c r="D23" s="853"/>
      <c r="E23" s="345" t="s">
        <v>134</v>
      </c>
      <c r="F23" s="526"/>
    </row>
    <row r="24" spans="1:6" ht="16.5">
      <c r="A24" s="864"/>
      <c r="B24" s="869"/>
      <c r="C24" s="851"/>
      <c r="D24" s="854"/>
      <c r="E24" s="327" t="s">
        <v>167</v>
      </c>
      <c r="F24" s="528">
        <v>5663</v>
      </c>
    </row>
    <row r="25" spans="1:6" ht="66">
      <c r="A25" s="872" t="s">
        <v>380</v>
      </c>
      <c r="B25" s="868" t="s">
        <v>164</v>
      </c>
      <c r="C25" s="849" t="s">
        <v>355</v>
      </c>
      <c r="D25" s="852" t="s">
        <v>187</v>
      </c>
      <c r="E25" s="326" t="s">
        <v>364</v>
      </c>
      <c r="F25" s="527">
        <v>591480.1020000001</v>
      </c>
    </row>
    <row r="26" spans="1:6" ht="16.5" hidden="1">
      <c r="A26" s="864"/>
      <c r="B26" s="869"/>
      <c r="C26" s="851"/>
      <c r="D26" s="854"/>
      <c r="E26" s="327" t="s">
        <v>167</v>
      </c>
      <c r="F26" s="527"/>
    </row>
    <row r="27" spans="1:6" ht="49.5">
      <c r="A27" s="335" t="s">
        <v>374</v>
      </c>
      <c r="B27" s="357" t="s">
        <v>164</v>
      </c>
      <c r="C27" s="153" t="s">
        <v>381</v>
      </c>
      <c r="D27" s="358" t="s">
        <v>187</v>
      </c>
      <c r="E27" s="346" t="s">
        <v>373</v>
      </c>
      <c r="F27" s="527">
        <v>30000</v>
      </c>
    </row>
    <row r="28" spans="1:6" ht="66">
      <c r="A28" s="872" t="s">
        <v>382</v>
      </c>
      <c r="B28" s="868" t="s">
        <v>164</v>
      </c>
      <c r="C28" s="849" t="s">
        <v>429</v>
      </c>
      <c r="D28" s="852" t="s">
        <v>187</v>
      </c>
      <c r="E28" s="326" t="s">
        <v>193</v>
      </c>
      <c r="F28" s="527">
        <v>166915.8</v>
      </c>
    </row>
    <row r="29" spans="1:6" ht="15.75" customHeight="1">
      <c r="A29" s="864"/>
      <c r="B29" s="869"/>
      <c r="C29" s="851"/>
      <c r="D29" s="854"/>
      <c r="E29" s="327" t="s">
        <v>167</v>
      </c>
      <c r="F29" s="528">
        <v>1353.7</v>
      </c>
    </row>
    <row r="30" spans="1:6" ht="77.25" customHeight="1">
      <c r="A30" s="855" t="s">
        <v>383</v>
      </c>
      <c r="B30" s="868" t="s">
        <v>164</v>
      </c>
      <c r="C30" s="887" t="s">
        <v>355</v>
      </c>
      <c r="D30" s="852" t="s">
        <v>187</v>
      </c>
      <c r="E30" s="326" t="s">
        <v>359</v>
      </c>
      <c r="F30" s="527">
        <v>19400</v>
      </c>
    </row>
    <row r="31" spans="1:6" ht="16.5">
      <c r="A31" s="856"/>
      <c r="B31" s="869"/>
      <c r="C31" s="888"/>
      <c r="D31" s="854"/>
      <c r="E31" s="327" t="s">
        <v>167</v>
      </c>
      <c r="F31" s="528">
        <v>343</v>
      </c>
    </row>
    <row r="32" spans="1:6" ht="53.25" customHeight="1">
      <c r="A32" s="336" t="s">
        <v>384</v>
      </c>
      <c r="B32" s="300" t="s">
        <v>164</v>
      </c>
      <c r="C32" s="370" t="s">
        <v>355</v>
      </c>
      <c r="D32" s="301" t="s">
        <v>187</v>
      </c>
      <c r="E32" s="326" t="s">
        <v>365</v>
      </c>
      <c r="F32" s="525">
        <v>24299.8</v>
      </c>
    </row>
    <row r="33" spans="1:6" ht="71.25" customHeight="1">
      <c r="A33" s="878" t="s">
        <v>385</v>
      </c>
      <c r="B33" s="868" t="s">
        <v>164</v>
      </c>
      <c r="C33" s="849" t="s">
        <v>355</v>
      </c>
      <c r="D33" s="852" t="s">
        <v>187</v>
      </c>
      <c r="E33" s="542" t="s">
        <v>360</v>
      </c>
      <c r="F33" s="527">
        <v>505685.7</v>
      </c>
    </row>
    <row r="34" spans="1:6" ht="24" customHeight="1" hidden="1">
      <c r="A34" s="879"/>
      <c r="B34" s="869"/>
      <c r="C34" s="851"/>
      <c r="D34" s="854"/>
      <c r="E34" s="543" t="s">
        <v>167</v>
      </c>
      <c r="F34" s="1002"/>
    </row>
    <row r="35" spans="1:6" ht="34.5" customHeight="1">
      <c r="A35" s="334" t="s">
        <v>386</v>
      </c>
      <c r="B35" s="357"/>
      <c r="C35" s="153"/>
      <c r="D35" s="358"/>
      <c r="E35" s="347" t="s">
        <v>168</v>
      </c>
      <c r="F35" s="529">
        <f>F36+F38</f>
        <v>1465500.6</v>
      </c>
    </row>
    <row r="36" spans="1:6" ht="66">
      <c r="A36" s="855" t="s">
        <v>387</v>
      </c>
      <c r="B36" s="868" t="s">
        <v>164</v>
      </c>
      <c r="C36" s="849" t="s">
        <v>355</v>
      </c>
      <c r="D36" s="852" t="s">
        <v>187</v>
      </c>
      <c r="E36" s="326" t="s">
        <v>361</v>
      </c>
      <c r="F36" s="527">
        <v>1464950.6</v>
      </c>
    </row>
    <row r="37" spans="1:6" ht="16.5" customHeight="1" hidden="1">
      <c r="A37" s="856"/>
      <c r="B37" s="880"/>
      <c r="C37" s="851"/>
      <c r="D37" s="854"/>
      <c r="E37" s="327" t="s">
        <v>167</v>
      </c>
      <c r="F37" s="1002"/>
    </row>
    <row r="38" spans="1:6" ht="49.5">
      <c r="A38" s="365" t="s">
        <v>388</v>
      </c>
      <c r="B38" s="357" t="s">
        <v>164</v>
      </c>
      <c r="C38" s="849" t="s">
        <v>355</v>
      </c>
      <c r="D38" s="358" t="s">
        <v>187</v>
      </c>
      <c r="E38" s="328" t="s">
        <v>362</v>
      </c>
      <c r="F38" s="525">
        <v>550</v>
      </c>
    </row>
    <row r="39" spans="1:6" s="5" customFormat="1" ht="35.25" customHeight="1" hidden="1">
      <c r="A39" s="337" t="s">
        <v>169</v>
      </c>
      <c r="B39" s="359"/>
      <c r="C39" s="851"/>
      <c r="D39" s="155"/>
      <c r="E39" s="504" t="s">
        <v>170</v>
      </c>
      <c r="F39" s="1003"/>
    </row>
    <row r="40" spans="1:6" s="5" customFormat="1" ht="36.75" customHeight="1" hidden="1">
      <c r="A40" s="338" t="s">
        <v>171</v>
      </c>
      <c r="B40" s="360" t="s">
        <v>172</v>
      </c>
      <c r="C40" s="162" t="s">
        <v>173</v>
      </c>
      <c r="D40" s="156" t="s">
        <v>174</v>
      </c>
      <c r="E40" s="348" t="s">
        <v>175</v>
      </c>
      <c r="F40" s="1004"/>
    </row>
    <row r="41" spans="1:6" s="5" customFormat="1" ht="64.5" customHeight="1" hidden="1">
      <c r="A41" s="338" t="s">
        <v>176</v>
      </c>
      <c r="B41" s="361" t="s">
        <v>172</v>
      </c>
      <c r="C41" s="163" t="s">
        <v>177</v>
      </c>
      <c r="D41" s="157" t="s">
        <v>174</v>
      </c>
      <c r="E41" s="348" t="s">
        <v>178</v>
      </c>
      <c r="F41" s="1005"/>
    </row>
    <row r="42" spans="1:6" ht="66">
      <c r="A42" s="870">
        <v>2</v>
      </c>
      <c r="B42" s="876" t="s">
        <v>164</v>
      </c>
      <c r="C42" s="882" t="s">
        <v>355</v>
      </c>
      <c r="D42" s="884" t="s">
        <v>187</v>
      </c>
      <c r="E42" s="349" t="s">
        <v>366</v>
      </c>
      <c r="F42" s="991">
        <v>4190</v>
      </c>
    </row>
    <row r="43" spans="1:6" ht="18.75" customHeight="1">
      <c r="A43" s="871"/>
      <c r="B43" s="877"/>
      <c r="C43" s="883"/>
      <c r="D43" s="885"/>
      <c r="E43" s="327" t="s">
        <v>167</v>
      </c>
      <c r="F43" s="528">
        <v>1128.4</v>
      </c>
    </row>
    <row r="44" spans="1:6" ht="86.25" customHeight="1">
      <c r="A44" s="874">
        <v>3</v>
      </c>
      <c r="B44" s="876" t="s">
        <v>164</v>
      </c>
      <c r="C44" s="882" t="s">
        <v>355</v>
      </c>
      <c r="D44" s="884" t="s">
        <v>187</v>
      </c>
      <c r="E44" s="349" t="s">
        <v>367</v>
      </c>
      <c r="F44" s="991">
        <v>110000</v>
      </c>
    </row>
    <row r="45" spans="1:6" ht="16.5" customHeight="1">
      <c r="A45" s="875"/>
      <c r="B45" s="877"/>
      <c r="C45" s="883"/>
      <c r="D45" s="885"/>
      <c r="E45" s="327" t="s">
        <v>167</v>
      </c>
      <c r="F45" s="528">
        <v>5179.4</v>
      </c>
    </row>
    <row r="46" spans="1:6" ht="27" customHeight="1" thickBot="1">
      <c r="A46" s="339">
        <v>4</v>
      </c>
      <c r="B46" s="362" t="s">
        <v>164</v>
      </c>
      <c r="C46" s="161" t="s">
        <v>482</v>
      </c>
      <c r="D46" s="363" t="s">
        <v>187</v>
      </c>
      <c r="E46" s="530" t="s">
        <v>356</v>
      </c>
      <c r="F46" s="992">
        <v>113925.3</v>
      </c>
    </row>
    <row r="49" spans="1:6" ht="12.75">
      <c r="A49" s="881" t="s">
        <v>179</v>
      </c>
      <c r="B49" s="881"/>
      <c r="C49" s="881"/>
      <c r="D49" s="881"/>
      <c r="E49" s="881"/>
      <c r="F49" s="503"/>
    </row>
    <row r="50" spans="5:6" ht="12.75">
      <c r="E50" s="160"/>
      <c r="F50" s="160"/>
    </row>
  </sheetData>
  <sheetProtection/>
  <mergeCells count="45">
    <mergeCell ref="E3:F3"/>
    <mergeCell ref="D36:D37"/>
    <mergeCell ref="B30:B31"/>
    <mergeCell ref="C30:C31"/>
    <mergeCell ref="D30:D31"/>
    <mergeCell ref="C36:C37"/>
    <mergeCell ref="A5:F5"/>
    <mergeCell ref="B9:D9"/>
    <mergeCell ref="E7:E8"/>
    <mergeCell ref="A49:E49"/>
    <mergeCell ref="B25:B26"/>
    <mergeCell ref="C25:C26"/>
    <mergeCell ref="D25:D26"/>
    <mergeCell ref="A25:A26"/>
    <mergeCell ref="C44:C45"/>
    <mergeCell ref="D44:D45"/>
    <mergeCell ref="C42:C43"/>
    <mergeCell ref="D42:D43"/>
    <mergeCell ref="C38:C39"/>
    <mergeCell ref="C33:C34"/>
    <mergeCell ref="D33:D34"/>
    <mergeCell ref="D21:D24"/>
    <mergeCell ref="F7:F8"/>
    <mergeCell ref="C21:C24"/>
    <mergeCell ref="C28:C29"/>
    <mergeCell ref="D28:D29"/>
    <mergeCell ref="A28:A29"/>
    <mergeCell ref="B28:B29"/>
    <mergeCell ref="A30:A31"/>
    <mergeCell ref="A36:A37"/>
    <mergeCell ref="B36:B37"/>
    <mergeCell ref="A21:A24"/>
    <mergeCell ref="A7:A8"/>
    <mergeCell ref="B7:D8"/>
    <mergeCell ref="A13:A15"/>
    <mergeCell ref="B13:B15"/>
    <mergeCell ref="C13:C15"/>
    <mergeCell ref="D13:D15"/>
    <mergeCell ref="B21:B24"/>
    <mergeCell ref="A44:A45"/>
    <mergeCell ref="B44:B45"/>
    <mergeCell ref="A33:A34"/>
    <mergeCell ref="B33:B34"/>
    <mergeCell ref="B42:B43"/>
    <mergeCell ref="A42:A43"/>
  </mergeCells>
  <printOptions/>
  <pageMargins left="0.75" right="0.89" top="1" bottom="1" header="0.5" footer="0.5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K129"/>
  <sheetViews>
    <sheetView showZeros="0" view="pageBreakPreview" zoomScale="96" zoomScaleNormal="90" zoomScaleSheetLayoutView="96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14" sqref="H14"/>
    </sheetView>
  </sheetViews>
  <sheetFormatPr defaultColWidth="9.00390625" defaultRowHeight="12.75"/>
  <cols>
    <col min="1" max="1" width="43.375" style="77" customWidth="1"/>
    <col min="2" max="2" width="6.75390625" style="77" customWidth="1"/>
    <col min="3" max="3" width="6.00390625" style="77" hidden="1" customWidth="1"/>
    <col min="4" max="4" width="12.625" style="77" hidden="1" customWidth="1"/>
    <col min="5" max="5" width="11.25390625" style="77" hidden="1" customWidth="1"/>
    <col min="6" max="6" width="6.25390625" style="77" customWidth="1"/>
    <col min="7" max="8" width="11.25390625" style="77" customWidth="1"/>
    <col min="9" max="9" width="6.375" style="77" customWidth="1"/>
    <col min="10" max="10" width="12.375" style="77" customWidth="1"/>
    <col min="11" max="11" width="11.125" style="77" customWidth="1"/>
    <col min="12" max="16384" width="9.125" style="77" customWidth="1"/>
  </cols>
  <sheetData>
    <row r="1" spans="1:10" ht="12" customHeight="1">
      <c r="A1" s="699"/>
      <c r="B1" s="699"/>
      <c r="C1" s="698"/>
      <c r="D1" s="698"/>
      <c r="E1" s="140"/>
      <c r="F1" s="140"/>
      <c r="G1" s="140"/>
      <c r="H1" s="140"/>
      <c r="I1" s="140"/>
      <c r="J1" s="140"/>
    </row>
    <row r="2" spans="1:10" ht="12" customHeight="1">
      <c r="A2" s="699"/>
      <c r="B2" s="699"/>
      <c r="C2" s="698"/>
      <c r="D2" s="698"/>
      <c r="E2" s="81"/>
      <c r="F2" s="81"/>
      <c r="G2" s="81"/>
      <c r="H2" s="81"/>
      <c r="I2" s="81"/>
      <c r="J2" s="81"/>
    </row>
    <row r="3" spans="1:11" ht="62.25" customHeight="1">
      <c r="A3" s="976" t="s">
        <v>460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</row>
    <row r="4" spans="1:10" ht="15.75" customHeight="1">
      <c r="A4" s="165"/>
      <c r="B4" s="165"/>
      <c r="C4" s="164"/>
      <c r="D4" s="164"/>
      <c r="E4" s="164"/>
      <c r="F4" s="164"/>
      <c r="G4" s="164"/>
      <c r="H4" s="164"/>
      <c r="I4" s="164"/>
      <c r="J4" s="164"/>
    </row>
    <row r="5" spans="1:11" ht="29.25" customHeight="1">
      <c r="A5" s="938" t="s">
        <v>108</v>
      </c>
      <c r="B5" s="985" t="s">
        <v>109</v>
      </c>
      <c r="C5" s="984" t="s">
        <v>434</v>
      </c>
      <c r="D5" s="982"/>
      <c r="E5" s="983"/>
      <c r="F5" s="984" t="s">
        <v>146</v>
      </c>
      <c r="G5" s="982"/>
      <c r="H5" s="983"/>
      <c r="I5" s="986" t="s">
        <v>194</v>
      </c>
      <c r="J5" s="987"/>
      <c r="K5" s="988"/>
    </row>
    <row r="6" spans="1:11" ht="66" customHeight="1">
      <c r="A6" s="938"/>
      <c r="B6" s="985"/>
      <c r="C6" s="219" t="s">
        <v>111</v>
      </c>
      <c r="D6" s="83" t="s">
        <v>112</v>
      </c>
      <c r="E6" s="83" t="s">
        <v>113</v>
      </c>
      <c r="F6" s="219" t="s">
        <v>111</v>
      </c>
      <c r="G6" s="83" t="s">
        <v>112</v>
      </c>
      <c r="H6" s="83" t="s">
        <v>113</v>
      </c>
      <c r="I6" s="592" t="s">
        <v>111</v>
      </c>
      <c r="J6" s="554" t="s">
        <v>112</v>
      </c>
      <c r="K6" s="554" t="s">
        <v>113</v>
      </c>
    </row>
    <row r="7" spans="1:11" ht="14.25" customHeight="1">
      <c r="A7" s="938"/>
      <c r="B7" s="985"/>
      <c r="C7" s="220" t="s">
        <v>106</v>
      </c>
      <c r="D7" s="221" t="s">
        <v>114</v>
      </c>
      <c r="E7" s="221" t="s">
        <v>114</v>
      </c>
      <c r="F7" s="220" t="s">
        <v>106</v>
      </c>
      <c r="G7" s="221" t="s">
        <v>114</v>
      </c>
      <c r="H7" s="221" t="s">
        <v>114</v>
      </c>
      <c r="I7" s="220" t="s">
        <v>106</v>
      </c>
      <c r="J7" s="221" t="s">
        <v>114</v>
      </c>
      <c r="K7" s="221" t="s">
        <v>114</v>
      </c>
    </row>
    <row r="8" spans="1:11" ht="14.25">
      <c r="A8" s="87" t="s">
        <v>202</v>
      </c>
      <c r="B8" s="88"/>
      <c r="C8" s="222">
        <f aca="true" t="shared" si="0" ref="C8:K8">SUM(C9:C11)</f>
        <v>4</v>
      </c>
      <c r="D8" s="222">
        <f t="shared" si="0"/>
        <v>25000</v>
      </c>
      <c r="E8" s="222">
        <f t="shared" si="0"/>
        <v>0</v>
      </c>
      <c r="F8" s="222">
        <f t="shared" si="0"/>
        <v>2.6</v>
      </c>
      <c r="G8" s="222">
        <f t="shared" si="0"/>
        <v>0</v>
      </c>
      <c r="H8" s="222">
        <f t="shared" si="0"/>
        <v>22331.8</v>
      </c>
      <c r="I8" s="222">
        <f t="shared" si="0"/>
        <v>1.5</v>
      </c>
      <c r="J8" s="222">
        <f t="shared" si="0"/>
        <v>0</v>
      </c>
      <c r="K8" s="222">
        <f t="shared" si="0"/>
        <v>7503.5</v>
      </c>
    </row>
    <row r="9" spans="1:11" ht="12.75" hidden="1">
      <c r="A9" s="647" t="s">
        <v>300</v>
      </c>
      <c r="B9" s="178" t="s">
        <v>115</v>
      </c>
      <c r="C9" s="204">
        <v>4</v>
      </c>
      <c r="D9" s="204">
        <v>25000</v>
      </c>
      <c r="E9" s="205"/>
      <c r="F9" s="205"/>
      <c r="G9" s="205"/>
      <c r="H9" s="205"/>
      <c r="I9" s="205"/>
      <c r="J9" s="205"/>
      <c r="K9" s="205"/>
    </row>
    <row r="10" spans="1:11" ht="12.75">
      <c r="A10" s="647" t="s">
        <v>301</v>
      </c>
      <c r="B10" s="178" t="s">
        <v>121</v>
      </c>
      <c r="C10" s="203"/>
      <c r="D10" s="203"/>
      <c r="E10" s="203"/>
      <c r="F10" s="203">
        <v>2.6</v>
      </c>
      <c r="G10" s="203"/>
      <c r="H10" s="203">
        <v>22331.8</v>
      </c>
      <c r="I10" s="203"/>
      <c r="J10" s="203"/>
      <c r="K10" s="203"/>
    </row>
    <row r="11" spans="1:11" ht="12.75">
      <c r="A11" s="700" t="s">
        <v>344</v>
      </c>
      <c r="B11" s="178" t="s">
        <v>121</v>
      </c>
      <c r="C11" s="227"/>
      <c r="D11" s="227"/>
      <c r="E11" s="227"/>
      <c r="F11" s="227"/>
      <c r="G11" s="227"/>
      <c r="H11" s="227"/>
      <c r="I11" s="227">
        <v>1.5</v>
      </c>
      <c r="J11" s="227"/>
      <c r="K11" s="290">
        <v>7503.5</v>
      </c>
    </row>
    <row r="12" spans="1:11" ht="14.25">
      <c r="A12" s="87" t="s">
        <v>196</v>
      </c>
      <c r="B12" s="701"/>
      <c r="C12" s="222">
        <f>SUM(C13:C15)</f>
        <v>6.868</v>
      </c>
      <c r="D12" s="222">
        <f>SUM(D13:D15)</f>
        <v>31114.2</v>
      </c>
      <c r="E12" s="222">
        <f>SUM(E13:E15)</f>
        <v>2000</v>
      </c>
      <c r="F12" s="222">
        <f aca="true" t="shared" si="1" ref="F12:K12">SUM(F13:F14)</f>
        <v>5</v>
      </c>
      <c r="G12" s="222">
        <f t="shared" si="1"/>
        <v>20000</v>
      </c>
      <c r="H12" s="222">
        <f t="shared" si="1"/>
        <v>8623.1</v>
      </c>
      <c r="I12" s="222">
        <f t="shared" si="1"/>
        <v>20</v>
      </c>
      <c r="J12" s="222">
        <f t="shared" si="1"/>
        <v>29823.6</v>
      </c>
      <c r="K12" s="222">
        <f t="shared" si="1"/>
        <v>0</v>
      </c>
    </row>
    <row r="13" spans="1:11" ht="12.75">
      <c r="A13" s="702" t="s">
        <v>302</v>
      </c>
      <c r="B13" s="195" t="s">
        <v>121</v>
      </c>
      <c r="C13" s="225"/>
      <c r="D13" s="225"/>
      <c r="E13" s="225"/>
      <c r="F13" s="202">
        <v>1</v>
      </c>
      <c r="G13" s="202"/>
      <c r="H13" s="202">
        <v>8623.1</v>
      </c>
      <c r="I13" s="202"/>
      <c r="J13" s="202"/>
      <c r="K13" s="202"/>
    </row>
    <row r="14" spans="1:11" ht="25.5">
      <c r="A14" s="703" t="s">
        <v>163</v>
      </c>
      <c r="B14" s="196" t="s">
        <v>121</v>
      </c>
      <c r="C14" s="203">
        <v>6.2</v>
      </c>
      <c r="D14" s="203">
        <v>31114.2</v>
      </c>
      <c r="E14" s="203"/>
      <c r="F14" s="203">
        <v>4</v>
      </c>
      <c r="G14" s="203">
        <f>50000-18000-12000</f>
        <v>20000</v>
      </c>
      <c r="H14" s="203"/>
      <c r="I14" s="203">
        <v>20</v>
      </c>
      <c r="J14" s="203">
        <v>29823.6</v>
      </c>
      <c r="K14" s="203"/>
    </row>
    <row r="15" spans="1:11" ht="12.75" hidden="1">
      <c r="A15" s="1014" t="s">
        <v>4</v>
      </c>
      <c r="B15" s="191" t="s">
        <v>115</v>
      </c>
      <c r="C15" s="206">
        <v>0.668</v>
      </c>
      <c r="D15" s="206"/>
      <c r="E15" s="206">
        <v>2000</v>
      </c>
      <c r="F15" s="206"/>
      <c r="G15" s="206"/>
      <c r="H15" s="206"/>
      <c r="I15" s="206"/>
      <c r="J15" s="206"/>
      <c r="K15" s="368"/>
    </row>
    <row r="16" spans="1:11" ht="14.25">
      <c r="A16" s="87" t="s">
        <v>116</v>
      </c>
      <c r="B16" s="704"/>
      <c r="C16" s="222">
        <f aca="true" t="shared" si="2" ref="C16:K16">C17</f>
        <v>0</v>
      </c>
      <c r="D16" s="222">
        <f t="shared" si="2"/>
        <v>0</v>
      </c>
      <c r="E16" s="222">
        <f t="shared" si="2"/>
        <v>0</v>
      </c>
      <c r="F16" s="222">
        <f t="shared" si="2"/>
        <v>0</v>
      </c>
      <c r="G16" s="222">
        <f t="shared" si="2"/>
        <v>0</v>
      </c>
      <c r="H16" s="222">
        <f t="shared" si="2"/>
        <v>0</v>
      </c>
      <c r="I16" s="222">
        <f t="shared" si="2"/>
        <v>3</v>
      </c>
      <c r="J16" s="222">
        <f t="shared" si="2"/>
        <v>24000</v>
      </c>
      <c r="K16" s="222">
        <f t="shared" si="2"/>
        <v>0</v>
      </c>
    </row>
    <row r="17" spans="1:11" ht="12.75">
      <c r="A17" s="647" t="s">
        <v>303</v>
      </c>
      <c r="B17" s="705" t="s">
        <v>121</v>
      </c>
      <c r="C17" s="228"/>
      <c r="D17" s="228"/>
      <c r="E17" s="228"/>
      <c r="F17" s="228"/>
      <c r="G17" s="228"/>
      <c r="H17" s="228"/>
      <c r="I17" s="228">
        <v>3</v>
      </c>
      <c r="J17" s="228">
        <v>24000</v>
      </c>
      <c r="K17" s="228"/>
    </row>
    <row r="18" spans="1:11" ht="14.25">
      <c r="A18" s="87" t="s">
        <v>304</v>
      </c>
      <c r="B18" s="88"/>
      <c r="C18" s="222">
        <f aca="true" t="shared" si="3" ref="C18:K18">SUM(C19:C22)</f>
        <v>4.327</v>
      </c>
      <c r="D18" s="222">
        <f t="shared" si="3"/>
        <v>33725.1</v>
      </c>
      <c r="E18" s="222">
        <f t="shared" si="3"/>
        <v>5515.4</v>
      </c>
      <c r="F18" s="222">
        <f t="shared" si="3"/>
        <v>7.2</v>
      </c>
      <c r="G18" s="222">
        <f t="shared" si="3"/>
        <v>28000</v>
      </c>
      <c r="H18" s="222">
        <f t="shared" si="3"/>
        <v>19283.3</v>
      </c>
      <c r="I18" s="222">
        <f t="shared" si="3"/>
        <v>4.4</v>
      </c>
      <c r="J18" s="222">
        <f t="shared" si="3"/>
        <v>30000</v>
      </c>
      <c r="K18" s="222">
        <f t="shared" si="3"/>
        <v>17704.6</v>
      </c>
    </row>
    <row r="19" spans="1:11" ht="12.75">
      <c r="A19" s="647" t="s">
        <v>305</v>
      </c>
      <c r="B19" s="178" t="s">
        <v>115</v>
      </c>
      <c r="C19" s="204">
        <v>1.8</v>
      </c>
      <c r="D19" s="204">
        <v>13830.9</v>
      </c>
      <c r="E19" s="204"/>
      <c r="F19" s="203"/>
      <c r="G19" s="203"/>
      <c r="H19" s="203"/>
      <c r="I19" s="203"/>
      <c r="J19" s="203"/>
      <c r="K19" s="203"/>
    </row>
    <row r="20" spans="1:11" ht="12.75">
      <c r="A20" s="647" t="s">
        <v>306</v>
      </c>
      <c r="B20" s="178" t="s">
        <v>115</v>
      </c>
      <c r="C20" s="204"/>
      <c r="D20" s="204"/>
      <c r="E20" s="204"/>
      <c r="F20" s="203"/>
      <c r="G20" s="203"/>
      <c r="H20" s="203"/>
      <c r="I20" s="235">
        <v>1.7</v>
      </c>
      <c r="J20" s="235"/>
      <c r="K20" s="235">
        <v>17704.6</v>
      </c>
    </row>
    <row r="21" spans="1:11" ht="12.75">
      <c r="A21" s="647" t="s">
        <v>307</v>
      </c>
      <c r="B21" s="178" t="s">
        <v>115</v>
      </c>
      <c r="C21" s="204">
        <v>0.85</v>
      </c>
      <c r="D21" s="204"/>
      <c r="E21" s="204">
        <v>5515.4</v>
      </c>
      <c r="F21" s="203">
        <v>3.2</v>
      </c>
      <c r="G21" s="203"/>
      <c r="H21" s="203">
        <v>19283.3</v>
      </c>
      <c r="I21" s="253"/>
      <c r="J21" s="203"/>
      <c r="K21" s="253"/>
    </row>
    <row r="22" spans="1:11" ht="12.75">
      <c r="A22" s="647" t="s">
        <v>348</v>
      </c>
      <c r="B22" s="191" t="s">
        <v>121</v>
      </c>
      <c r="C22" s="206">
        <v>1.677</v>
      </c>
      <c r="D22" s="206">
        <f>20000-105.8</f>
        <v>19894.2</v>
      </c>
      <c r="E22" s="206"/>
      <c r="F22" s="206">
        <v>4</v>
      </c>
      <c r="G22" s="206">
        <v>28000</v>
      </c>
      <c r="H22" s="206"/>
      <c r="I22" s="235">
        <v>2.7</v>
      </c>
      <c r="J22" s="235">
        <f>40000-10000</f>
        <v>30000</v>
      </c>
      <c r="K22" s="253"/>
    </row>
    <row r="23" spans="1:11" ht="14.25">
      <c r="A23" s="87" t="s">
        <v>207</v>
      </c>
      <c r="B23" s="706"/>
      <c r="C23" s="126"/>
      <c r="D23" s="222"/>
      <c r="E23" s="222"/>
      <c r="F23" s="222">
        <f>F24</f>
        <v>4.95</v>
      </c>
      <c r="G23" s="222">
        <f>G24</f>
        <v>42000</v>
      </c>
      <c r="H23" s="222"/>
      <c r="I23" s="222">
        <f>I24</f>
        <v>1.2</v>
      </c>
      <c r="J23" s="222">
        <f>J24</f>
        <v>10000</v>
      </c>
      <c r="K23" s="222"/>
    </row>
    <row r="24" spans="1:11" ht="12.75">
      <c r="A24" s="171" t="s">
        <v>201</v>
      </c>
      <c r="B24" s="191" t="s">
        <v>121</v>
      </c>
      <c r="C24" s="126"/>
      <c r="D24" s="126"/>
      <c r="E24" s="126"/>
      <c r="F24" s="206">
        <v>4.95</v>
      </c>
      <c r="G24" s="206">
        <f>49000-28000+31829.9-10829.9</f>
        <v>42000</v>
      </c>
      <c r="H24" s="126"/>
      <c r="I24" s="126">
        <v>1.2</v>
      </c>
      <c r="J24" s="126">
        <v>10000</v>
      </c>
      <c r="K24" s="126"/>
    </row>
    <row r="25" spans="1:11" ht="15" customHeight="1">
      <c r="A25" s="87" t="s">
        <v>120</v>
      </c>
      <c r="B25" s="88"/>
      <c r="C25" s="222">
        <f aca="true" t="shared" si="4" ref="C25:K25">SUM(C26:C31)</f>
        <v>0</v>
      </c>
      <c r="D25" s="222">
        <f t="shared" si="4"/>
        <v>0</v>
      </c>
      <c r="E25" s="222">
        <f t="shared" si="4"/>
        <v>15000</v>
      </c>
      <c r="F25" s="222">
        <f t="shared" si="4"/>
        <v>5.2</v>
      </c>
      <c r="G25" s="222">
        <f t="shared" si="4"/>
        <v>15000</v>
      </c>
      <c r="H25" s="222">
        <f t="shared" si="4"/>
        <v>28677.3</v>
      </c>
      <c r="I25" s="222">
        <f t="shared" si="4"/>
        <v>5.5</v>
      </c>
      <c r="J25" s="222">
        <f t="shared" si="4"/>
        <v>2500</v>
      </c>
      <c r="K25" s="222">
        <f t="shared" si="4"/>
        <v>43829.4</v>
      </c>
    </row>
    <row r="26" spans="1:11" ht="24">
      <c r="A26" s="645" t="s">
        <v>308</v>
      </c>
      <c r="B26" s="134" t="s">
        <v>121</v>
      </c>
      <c r="C26" s="223"/>
      <c r="D26" s="223"/>
      <c r="E26" s="223"/>
      <c r="F26" s="224">
        <v>2.1</v>
      </c>
      <c r="G26" s="224">
        <f>30000-15000</f>
        <v>15000</v>
      </c>
      <c r="H26" s="223"/>
      <c r="I26" s="224"/>
      <c r="J26" s="224"/>
      <c r="K26" s="223"/>
    </row>
    <row r="27" spans="1:11" ht="24" hidden="1">
      <c r="A27" s="647" t="s">
        <v>349</v>
      </c>
      <c r="B27" s="178"/>
      <c r="C27" s="204"/>
      <c r="D27" s="204"/>
      <c r="E27" s="204">
        <v>15000</v>
      </c>
      <c r="F27" s="204"/>
      <c r="G27" s="204"/>
      <c r="H27" s="204"/>
      <c r="I27" s="204"/>
      <c r="J27" s="204"/>
      <c r="K27" s="204"/>
    </row>
    <row r="28" spans="1:11" ht="12.75">
      <c r="A28" s="183" t="s">
        <v>350</v>
      </c>
      <c r="B28" s="178" t="s">
        <v>115</v>
      </c>
      <c r="C28" s="204"/>
      <c r="D28" s="204"/>
      <c r="E28" s="204"/>
      <c r="F28" s="204"/>
      <c r="G28" s="204"/>
      <c r="H28" s="204"/>
      <c r="I28" s="235">
        <v>1</v>
      </c>
      <c r="J28" s="235"/>
      <c r="K28" s="3">
        <v>10000</v>
      </c>
    </row>
    <row r="29" spans="1:11" ht="12.75">
      <c r="A29" s="707" t="s">
        <v>414</v>
      </c>
      <c r="B29" s="629"/>
      <c r="C29" s="267"/>
      <c r="D29" s="267"/>
      <c r="E29" s="267"/>
      <c r="F29" s="267"/>
      <c r="G29" s="267"/>
      <c r="H29" s="267"/>
      <c r="I29" s="303"/>
      <c r="J29" s="303">
        <v>2500</v>
      </c>
      <c r="K29" s="304">
        <v>2500</v>
      </c>
    </row>
    <row r="30" spans="1:11" ht="12.75">
      <c r="A30" s="1015" t="s">
        <v>462</v>
      </c>
      <c r="B30" s="178" t="s">
        <v>115</v>
      </c>
      <c r="C30" s="267"/>
      <c r="D30" s="267"/>
      <c r="E30" s="267"/>
      <c r="F30" s="267"/>
      <c r="G30" s="267"/>
      <c r="H30" s="267"/>
      <c r="I30" s="303">
        <f>3+1.5</f>
        <v>4.5</v>
      </c>
      <c r="J30" s="303"/>
      <c r="K30" s="304">
        <f>20000+11329.4</f>
        <v>31329.4</v>
      </c>
    </row>
    <row r="31" spans="1:11" ht="12.75">
      <c r="A31" s="652" t="s">
        <v>309</v>
      </c>
      <c r="B31" s="191" t="s">
        <v>115</v>
      </c>
      <c r="C31" s="209"/>
      <c r="D31" s="209"/>
      <c r="E31" s="209"/>
      <c r="F31" s="209">
        <v>3.1</v>
      </c>
      <c r="G31" s="209"/>
      <c r="H31" s="209">
        <v>28677.3</v>
      </c>
      <c r="I31" s="209"/>
      <c r="J31" s="209"/>
      <c r="K31" s="209"/>
    </row>
    <row r="32" spans="1:11" ht="14.25">
      <c r="A32" s="92" t="s">
        <v>216</v>
      </c>
      <c r="B32" s="89"/>
      <c r="C32" s="229">
        <f aca="true" t="shared" si="5" ref="C32:H32">SUM(C33:C35)</f>
        <v>9</v>
      </c>
      <c r="D32" s="229">
        <f t="shared" si="5"/>
        <v>13000</v>
      </c>
      <c r="E32" s="229">
        <f t="shared" si="5"/>
        <v>0</v>
      </c>
      <c r="F32" s="229">
        <f t="shared" si="5"/>
        <v>21</v>
      </c>
      <c r="G32" s="229">
        <f t="shared" si="5"/>
        <v>39000</v>
      </c>
      <c r="H32" s="229">
        <f t="shared" si="5"/>
        <v>6474.7</v>
      </c>
      <c r="I32" s="229"/>
      <c r="J32" s="229">
        <f>SUM(J33:J35)</f>
        <v>0</v>
      </c>
      <c r="K32" s="229">
        <f>SUM(K33:K35)</f>
        <v>0</v>
      </c>
    </row>
    <row r="33" spans="1:11" ht="25.5">
      <c r="A33" s="708" t="s">
        <v>310</v>
      </c>
      <c r="B33" s="709" t="s">
        <v>121</v>
      </c>
      <c r="C33" s="225"/>
      <c r="D33" s="225"/>
      <c r="E33" s="225"/>
      <c r="F33" s="224">
        <v>15</v>
      </c>
      <c r="G33" s="224">
        <v>18000</v>
      </c>
      <c r="H33" s="225"/>
      <c r="I33" s="134"/>
      <c r="J33" s="224"/>
      <c r="K33" s="225"/>
    </row>
    <row r="34" spans="1:11" ht="12.75">
      <c r="A34" s="710" t="s">
        <v>311</v>
      </c>
      <c r="B34" s="709" t="s">
        <v>121</v>
      </c>
      <c r="C34" s="204">
        <f>13-4</f>
        <v>9</v>
      </c>
      <c r="D34" s="204">
        <f>18000-5000</f>
        <v>13000</v>
      </c>
      <c r="E34" s="204"/>
      <c r="F34" s="204">
        <v>5</v>
      </c>
      <c r="G34" s="204">
        <v>21000</v>
      </c>
      <c r="H34" s="204"/>
      <c r="I34" s="204"/>
      <c r="J34" s="204"/>
      <c r="K34" s="204"/>
    </row>
    <row r="35" spans="1:11" ht="12.75">
      <c r="A35" s="711" t="s">
        <v>312</v>
      </c>
      <c r="B35" s="712" t="s">
        <v>121</v>
      </c>
      <c r="C35" s="209"/>
      <c r="D35" s="209"/>
      <c r="E35" s="209"/>
      <c r="F35" s="209">
        <v>1</v>
      </c>
      <c r="G35" s="209"/>
      <c r="H35" s="209">
        <v>6474.7</v>
      </c>
      <c r="I35" s="209"/>
      <c r="J35" s="209"/>
      <c r="K35" s="209"/>
    </row>
    <row r="36" spans="1:11" ht="14.25">
      <c r="A36" s="92" t="s">
        <v>223</v>
      </c>
      <c r="B36" s="713"/>
      <c r="C36" s="229">
        <f aca="true" t="shared" si="6" ref="C36:H36">SUM(C37:C37)</f>
        <v>2.6999999999999997</v>
      </c>
      <c r="D36" s="229">
        <f t="shared" si="6"/>
        <v>53419.6</v>
      </c>
      <c r="E36" s="229">
        <f t="shared" si="6"/>
        <v>0</v>
      </c>
      <c r="F36" s="229">
        <f t="shared" si="6"/>
        <v>1.5</v>
      </c>
      <c r="G36" s="229">
        <f t="shared" si="6"/>
        <v>28000</v>
      </c>
      <c r="H36" s="229">
        <f t="shared" si="6"/>
        <v>0</v>
      </c>
      <c r="I36" s="229">
        <f>I38</f>
        <v>0.6</v>
      </c>
      <c r="J36" s="229">
        <f>SUM(J37:J38)</f>
        <v>0</v>
      </c>
      <c r="K36" s="229">
        <f>SUM(K37:K38)</f>
        <v>10000</v>
      </c>
    </row>
    <row r="37" spans="1:11" ht="12.75">
      <c r="A37" s="182" t="s">
        <v>313</v>
      </c>
      <c r="B37" s="134" t="s">
        <v>121</v>
      </c>
      <c r="C37" s="224">
        <f>3.3-0.6</f>
        <v>2.6999999999999997</v>
      </c>
      <c r="D37" s="224">
        <f>52536+9883.6-9000</f>
        <v>53419.6</v>
      </c>
      <c r="E37" s="224"/>
      <c r="F37" s="224">
        <v>1.5</v>
      </c>
      <c r="G37" s="224">
        <v>28000</v>
      </c>
      <c r="H37" s="224"/>
      <c r="I37" s="224"/>
      <c r="J37" s="224"/>
      <c r="K37" s="224"/>
    </row>
    <row r="38" spans="1:11" ht="12.75">
      <c r="A38" s="184" t="s">
        <v>483</v>
      </c>
      <c r="B38" s="191" t="s">
        <v>121</v>
      </c>
      <c r="C38" s="209"/>
      <c r="D38" s="209"/>
      <c r="E38" s="209"/>
      <c r="F38" s="209"/>
      <c r="G38" s="209"/>
      <c r="H38" s="209"/>
      <c r="I38" s="291">
        <v>0.6</v>
      </c>
      <c r="J38" s="291"/>
      <c r="K38" s="291">
        <v>10000</v>
      </c>
    </row>
    <row r="39" spans="1:11" ht="14.25">
      <c r="A39" s="87" t="s">
        <v>404</v>
      </c>
      <c r="B39" s="714"/>
      <c r="C39" s="230"/>
      <c r="D39" s="230"/>
      <c r="E39" s="230"/>
      <c r="F39" s="231">
        <f aca="true" t="shared" si="7" ref="F39:K39">F40</f>
        <v>3.5</v>
      </c>
      <c r="G39" s="231">
        <f t="shared" si="7"/>
        <v>28000</v>
      </c>
      <c r="H39" s="230">
        <f t="shared" si="7"/>
        <v>0</v>
      </c>
      <c r="I39" s="231">
        <f t="shared" si="7"/>
        <v>3</v>
      </c>
      <c r="J39" s="231">
        <f t="shared" si="7"/>
        <v>23411.2</v>
      </c>
      <c r="K39" s="231">
        <f t="shared" si="7"/>
        <v>0</v>
      </c>
    </row>
    <row r="40" spans="1:11" ht="24">
      <c r="A40" s="173" t="s">
        <v>229</v>
      </c>
      <c r="B40" s="134" t="s">
        <v>121</v>
      </c>
      <c r="C40" s="230"/>
      <c r="D40" s="230"/>
      <c r="E40" s="230"/>
      <c r="F40" s="230">
        <v>3.5</v>
      </c>
      <c r="G40" s="230">
        <v>28000</v>
      </c>
      <c r="H40" s="230"/>
      <c r="I40" s="230">
        <v>3</v>
      </c>
      <c r="J40" s="230">
        <v>23411.2</v>
      </c>
      <c r="K40" s="230"/>
    </row>
    <row r="41" spans="1:11" ht="14.25">
      <c r="A41" s="87" t="s">
        <v>230</v>
      </c>
      <c r="B41" s="88"/>
      <c r="C41" s="222">
        <f aca="true" t="shared" si="8" ref="C41:K41">SUM(C42:C42)</f>
        <v>2.3</v>
      </c>
      <c r="D41" s="222">
        <f t="shared" si="8"/>
        <v>0</v>
      </c>
      <c r="E41" s="222">
        <f t="shared" si="8"/>
        <v>15821.2</v>
      </c>
      <c r="F41" s="222">
        <f t="shared" si="8"/>
        <v>3</v>
      </c>
      <c r="G41" s="222">
        <f t="shared" si="8"/>
        <v>0</v>
      </c>
      <c r="H41" s="222">
        <f t="shared" si="8"/>
        <v>20000</v>
      </c>
      <c r="I41" s="222">
        <f t="shared" si="8"/>
        <v>2.8</v>
      </c>
      <c r="J41" s="222">
        <f t="shared" si="8"/>
        <v>0</v>
      </c>
      <c r="K41" s="222">
        <f t="shared" si="8"/>
        <v>22605.2</v>
      </c>
    </row>
    <row r="42" spans="1:11" ht="12.75">
      <c r="A42" s="715" t="s">
        <v>314</v>
      </c>
      <c r="B42" s="97" t="s">
        <v>115</v>
      </c>
      <c r="C42" s="203">
        <v>2.3</v>
      </c>
      <c r="D42" s="203"/>
      <c r="E42" s="203">
        <f>15821.2</f>
        <v>15821.2</v>
      </c>
      <c r="F42" s="203">
        <v>3</v>
      </c>
      <c r="G42" s="203"/>
      <c r="H42" s="203">
        <f>18100+1900</f>
        <v>20000</v>
      </c>
      <c r="I42" s="203">
        <v>2.8</v>
      </c>
      <c r="J42" s="203"/>
      <c r="K42" s="203">
        <f>20208+2397.2</f>
        <v>22605.2</v>
      </c>
    </row>
    <row r="43" spans="1:11" ht="14.25">
      <c r="A43" s="87" t="s">
        <v>231</v>
      </c>
      <c r="B43" s="88"/>
      <c r="C43" s="222">
        <f aca="true" t="shared" si="9" ref="C43:K43">SUM(C44:C47)</f>
        <v>2.14</v>
      </c>
      <c r="D43" s="222">
        <f t="shared" si="9"/>
        <v>9820.7</v>
      </c>
      <c r="E43" s="222">
        <f t="shared" si="9"/>
        <v>7757</v>
      </c>
      <c r="F43" s="222">
        <f t="shared" si="9"/>
        <v>9.7</v>
      </c>
      <c r="G43" s="222">
        <f t="shared" si="9"/>
        <v>56000</v>
      </c>
      <c r="H43" s="222">
        <f t="shared" si="9"/>
        <v>12216.1</v>
      </c>
      <c r="I43" s="222">
        <f t="shared" si="9"/>
        <v>5.4</v>
      </c>
      <c r="J43" s="222">
        <f t="shared" si="9"/>
        <v>39748.399999999994</v>
      </c>
      <c r="K43" s="222">
        <f t="shared" si="9"/>
        <v>11216</v>
      </c>
    </row>
    <row r="44" spans="1:11" ht="12.75">
      <c r="A44" s="716" t="s">
        <v>315</v>
      </c>
      <c r="B44" s="95" t="s">
        <v>121</v>
      </c>
      <c r="C44" s="223"/>
      <c r="D44" s="223"/>
      <c r="E44" s="223"/>
      <c r="F44" s="224">
        <v>1.7</v>
      </c>
      <c r="G44" s="223"/>
      <c r="H44" s="224">
        <v>12216.1</v>
      </c>
      <c r="I44" s="292">
        <v>1.4</v>
      </c>
      <c r="J44" s="293"/>
      <c r="K44" s="292">
        <v>11216</v>
      </c>
    </row>
    <row r="45" spans="1:11" ht="12.75">
      <c r="A45" s="717" t="s">
        <v>409</v>
      </c>
      <c r="B45" s="97" t="s">
        <v>121</v>
      </c>
      <c r="C45" s="205"/>
      <c r="D45" s="205"/>
      <c r="E45" s="205"/>
      <c r="F45" s="204">
        <v>4</v>
      </c>
      <c r="G45" s="204">
        <v>28000</v>
      </c>
      <c r="H45" s="205"/>
      <c r="I45" s="204"/>
      <c r="J45" s="204"/>
      <c r="K45" s="205"/>
    </row>
    <row r="46" spans="1:11" ht="12.75">
      <c r="A46" s="660" t="s">
        <v>316</v>
      </c>
      <c r="B46" s="97" t="s">
        <v>121</v>
      </c>
      <c r="C46" s="235">
        <v>1.34</v>
      </c>
      <c r="D46" s="235">
        <v>9820.7</v>
      </c>
      <c r="E46" s="235"/>
      <c r="F46" s="235">
        <v>4</v>
      </c>
      <c r="G46" s="235">
        <v>28000</v>
      </c>
      <c r="H46" s="235"/>
      <c r="I46" s="203">
        <v>4</v>
      </c>
      <c r="J46" s="269">
        <f>89748.4-50000</f>
        <v>39748.399999999994</v>
      </c>
      <c r="K46" s="203"/>
    </row>
    <row r="47" spans="1:11" ht="12.75">
      <c r="A47" s="718" t="s">
        <v>317</v>
      </c>
      <c r="B47" s="98" t="s">
        <v>121</v>
      </c>
      <c r="C47" s="206">
        <v>0.8</v>
      </c>
      <c r="D47" s="206"/>
      <c r="E47" s="206">
        <v>7757</v>
      </c>
      <c r="F47" s="206"/>
      <c r="G47" s="206"/>
      <c r="H47" s="206"/>
      <c r="I47" s="206"/>
      <c r="J47" s="227"/>
      <c r="K47" s="206"/>
    </row>
    <row r="48" spans="1:11" ht="14.25">
      <c r="A48" s="92" t="s">
        <v>122</v>
      </c>
      <c r="B48" s="91"/>
      <c r="C48" s="229">
        <f aca="true" t="shared" si="10" ref="C48:K48">SUM(C49:C52)</f>
        <v>2.765</v>
      </c>
      <c r="D48" s="229">
        <f t="shared" si="10"/>
        <v>12579.4</v>
      </c>
      <c r="E48" s="229">
        <f t="shared" si="10"/>
        <v>6436.402000000001</v>
      </c>
      <c r="F48" s="229">
        <f t="shared" si="10"/>
        <v>6.3</v>
      </c>
      <c r="G48" s="229">
        <f t="shared" si="10"/>
        <v>48409.9</v>
      </c>
      <c r="H48" s="229">
        <f t="shared" si="10"/>
        <v>0</v>
      </c>
      <c r="I48" s="229">
        <f t="shared" si="10"/>
        <v>4.2</v>
      </c>
      <c r="J48" s="229">
        <f t="shared" si="10"/>
        <v>32500</v>
      </c>
      <c r="K48" s="229">
        <f t="shared" si="10"/>
        <v>14000</v>
      </c>
    </row>
    <row r="49" spans="1:11" ht="12.75">
      <c r="A49" s="719" t="s">
        <v>318</v>
      </c>
      <c r="B49" s="720" t="s">
        <v>121</v>
      </c>
      <c r="C49" s="224">
        <v>0.565</v>
      </c>
      <c r="D49" s="224"/>
      <c r="E49" s="224">
        <f>22732.9-16219.798-76.7</f>
        <v>6436.402000000001</v>
      </c>
      <c r="F49" s="224"/>
      <c r="G49" s="224"/>
      <c r="H49" s="224"/>
      <c r="I49" s="224">
        <v>1.2</v>
      </c>
      <c r="J49" s="224"/>
      <c r="K49" s="224">
        <v>14000</v>
      </c>
    </row>
    <row r="50" spans="1:11" ht="24">
      <c r="A50" s="710" t="s">
        <v>320</v>
      </c>
      <c r="B50" s="709" t="s">
        <v>115</v>
      </c>
      <c r="C50" s="204"/>
      <c r="D50" s="204"/>
      <c r="E50" s="204"/>
      <c r="F50" s="204">
        <v>3</v>
      </c>
      <c r="G50" s="204">
        <f>40000-20000</f>
        <v>20000</v>
      </c>
      <c r="H50" s="204"/>
      <c r="I50" s="204"/>
      <c r="J50" s="204"/>
      <c r="K50" s="204"/>
    </row>
    <row r="51" spans="1:11" ht="12.75">
      <c r="A51" s="710" t="s">
        <v>235</v>
      </c>
      <c r="B51" s="709" t="s">
        <v>121</v>
      </c>
      <c r="C51" s="204">
        <v>2.2</v>
      </c>
      <c r="D51" s="204">
        <v>12579.4</v>
      </c>
      <c r="E51" s="204"/>
      <c r="F51" s="204">
        <v>1</v>
      </c>
      <c r="G51" s="204">
        <f>45000-18000-20000</f>
        <v>7000</v>
      </c>
      <c r="H51" s="204"/>
      <c r="I51" s="204"/>
      <c r="J51" s="204"/>
      <c r="K51" s="204"/>
    </row>
    <row r="52" spans="1:11" ht="12.75">
      <c r="A52" s="710" t="s">
        <v>311</v>
      </c>
      <c r="B52" s="709" t="s">
        <v>121</v>
      </c>
      <c r="C52" s="206"/>
      <c r="D52" s="206"/>
      <c r="E52" s="206"/>
      <c r="F52" s="206">
        <v>2.3</v>
      </c>
      <c r="G52" s="206">
        <v>21409.9</v>
      </c>
      <c r="H52" s="206"/>
      <c r="I52" s="206">
        <v>3</v>
      </c>
      <c r="J52" s="206">
        <f>52500-20000</f>
        <v>32500</v>
      </c>
      <c r="K52" s="206"/>
    </row>
    <row r="53" spans="1:11" ht="14.25">
      <c r="A53" s="92" t="s">
        <v>236</v>
      </c>
      <c r="B53" s="89"/>
      <c r="C53" s="229">
        <f aca="true" t="shared" si="11" ref="C53:K53">SUM(C54:C55)</f>
        <v>0</v>
      </c>
      <c r="D53" s="229">
        <f t="shared" si="11"/>
        <v>0</v>
      </c>
      <c r="E53" s="229">
        <f t="shared" si="11"/>
        <v>0</v>
      </c>
      <c r="F53" s="229">
        <f t="shared" si="11"/>
        <v>4.1</v>
      </c>
      <c r="G53" s="229">
        <f t="shared" si="11"/>
        <v>28000</v>
      </c>
      <c r="H53" s="229">
        <f t="shared" si="11"/>
        <v>0</v>
      </c>
      <c r="I53" s="229">
        <f t="shared" si="11"/>
        <v>4</v>
      </c>
      <c r="J53" s="229">
        <f t="shared" si="11"/>
        <v>36000</v>
      </c>
      <c r="K53" s="229">
        <f t="shared" si="11"/>
        <v>0</v>
      </c>
    </row>
    <row r="54" spans="1:11" ht="12.75">
      <c r="A54" s="169" t="s">
        <v>405</v>
      </c>
      <c r="B54" s="721" t="s">
        <v>121</v>
      </c>
      <c r="C54" s="232"/>
      <c r="D54" s="232"/>
      <c r="E54" s="232"/>
      <c r="F54" s="204">
        <v>4.1</v>
      </c>
      <c r="G54" s="204">
        <v>28000</v>
      </c>
      <c r="H54" s="232"/>
      <c r="I54" s="204">
        <v>4</v>
      </c>
      <c r="J54" s="204">
        <f>12000+20000</f>
        <v>32000</v>
      </c>
      <c r="K54" s="232"/>
    </row>
    <row r="55" spans="1:11" ht="12.75">
      <c r="A55" s="644" t="s">
        <v>319</v>
      </c>
      <c r="B55" s="722"/>
      <c r="C55" s="266"/>
      <c r="D55" s="266"/>
      <c r="E55" s="266"/>
      <c r="F55" s="267"/>
      <c r="G55" s="267"/>
      <c r="H55" s="266"/>
      <c r="I55" s="267"/>
      <c r="J55" s="267">
        <v>4000</v>
      </c>
      <c r="K55" s="266"/>
    </row>
    <row r="56" spans="1:11" ht="14.25">
      <c r="A56" s="92" t="s">
        <v>243</v>
      </c>
      <c r="B56" s="713"/>
      <c r="C56" s="222">
        <f aca="true" t="shared" si="12" ref="C56:I56">C57</f>
        <v>0.825</v>
      </c>
      <c r="D56" s="222">
        <f t="shared" si="12"/>
        <v>7161.8</v>
      </c>
      <c r="E56" s="222">
        <f t="shared" si="12"/>
        <v>0</v>
      </c>
      <c r="F56" s="222">
        <f t="shared" si="12"/>
        <v>1.9</v>
      </c>
      <c r="G56" s="222">
        <f t="shared" si="12"/>
        <v>22172.8</v>
      </c>
      <c r="H56" s="222">
        <f t="shared" si="12"/>
        <v>0</v>
      </c>
      <c r="I56" s="222">
        <f t="shared" si="12"/>
        <v>0</v>
      </c>
      <c r="J56" s="222">
        <f>SUM(J57)</f>
        <v>0</v>
      </c>
      <c r="K56" s="222">
        <f>SUM(K57)</f>
        <v>0</v>
      </c>
    </row>
    <row r="57" spans="1:11" ht="12.75">
      <c r="A57" s="723" t="s">
        <v>406</v>
      </c>
      <c r="B57" s="724" t="s">
        <v>121</v>
      </c>
      <c r="C57" s="206">
        <v>0.825</v>
      </c>
      <c r="D57" s="206">
        <v>7161.8</v>
      </c>
      <c r="E57" s="228"/>
      <c r="F57" s="228">
        <v>1.9</v>
      </c>
      <c r="G57" s="228">
        <v>22172.8</v>
      </c>
      <c r="H57" s="228"/>
      <c r="I57" s="228"/>
      <c r="J57" s="228"/>
      <c r="K57" s="228"/>
    </row>
    <row r="58" spans="1:11" ht="14.25">
      <c r="A58" s="87" t="s">
        <v>251</v>
      </c>
      <c r="B58" s="725"/>
      <c r="C58" s="126"/>
      <c r="D58" s="126"/>
      <c r="E58" s="126"/>
      <c r="F58" s="127">
        <f>+F59</f>
        <v>1.2</v>
      </c>
      <c r="G58" s="127">
        <f>+G59</f>
        <v>17000</v>
      </c>
      <c r="H58" s="127">
        <f>+H59</f>
        <v>0</v>
      </c>
      <c r="I58" s="127">
        <f>SUM(I59:I60)</f>
        <v>3.3</v>
      </c>
      <c r="J58" s="127">
        <f>SUM(J59:J60)</f>
        <v>30000</v>
      </c>
      <c r="K58" s="127">
        <f>SUM(K59:K60)</f>
        <v>15199.5</v>
      </c>
    </row>
    <row r="59" spans="1:11" ht="12.75">
      <c r="A59" s="169" t="s">
        <v>321</v>
      </c>
      <c r="B59" s="720" t="s">
        <v>121</v>
      </c>
      <c r="C59" s="1"/>
      <c r="D59" s="1"/>
      <c r="E59" s="1"/>
      <c r="F59" s="1">
        <v>1.2</v>
      </c>
      <c r="G59" s="1">
        <v>17000</v>
      </c>
      <c r="H59" s="1"/>
      <c r="I59" s="1">
        <v>1.8</v>
      </c>
      <c r="J59" s="239">
        <f>40000-10000</f>
        <v>30000</v>
      </c>
      <c r="K59" s="294"/>
    </row>
    <row r="60" spans="1:11" ht="12.75">
      <c r="A60" s="173" t="s">
        <v>254</v>
      </c>
      <c r="B60" s="712" t="s">
        <v>121</v>
      </c>
      <c r="C60" s="128"/>
      <c r="D60" s="128"/>
      <c r="E60" s="128"/>
      <c r="F60" s="128"/>
      <c r="G60" s="128"/>
      <c r="H60" s="128"/>
      <c r="I60" s="128">
        <v>1.5</v>
      </c>
      <c r="J60" s="262"/>
      <c r="K60" s="237">
        <v>15199.5</v>
      </c>
    </row>
    <row r="61" spans="1:11" ht="14.25">
      <c r="A61" s="87" t="s">
        <v>255</v>
      </c>
      <c r="B61" s="726"/>
      <c r="C61" s="233"/>
      <c r="D61" s="233"/>
      <c r="E61" s="233"/>
      <c r="F61" s="234">
        <f>F62</f>
        <v>1.2</v>
      </c>
      <c r="G61" s="234">
        <f>G62</f>
        <v>0</v>
      </c>
      <c r="H61" s="234">
        <f>H62</f>
        <v>8499.9</v>
      </c>
      <c r="I61" s="234">
        <f>I62</f>
        <v>0</v>
      </c>
      <c r="J61" s="234">
        <f>SUM(J62:J62)</f>
        <v>0</v>
      </c>
      <c r="K61" s="234">
        <f>SUM(K62:K62)</f>
        <v>0</v>
      </c>
    </row>
    <row r="62" spans="1:11" ht="12.75">
      <c r="A62" s="173" t="s">
        <v>322</v>
      </c>
      <c r="B62" s="727" t="s">
        <v>121</v>
      </c>
      <c r="C62" s="1"/>
      <c r="D62" s="1"/>
      <c r="E62" s="1"/>
      <c r="F62" s="1">
        <v>1.2</v>
      </c>
      <c r="G62" s="1"/>
      <c r="H62" s="1">
        <v>8499.9</v>
      </c>
      <c r="I62" s="1"/>
      <c r="J62" s="1"/>
      <c r="K62" s="1"/>
    </row>
    <row r="63" spans="1:11" ht="14.25">
      <c r="A63" s="87" t="s">
        <v>123</v>
      </c>
      <c r="B63" s="88"/>
      <c r="C63" s="222">
        <f>SUM(C64:C70)</f>
        <v>18.3</v>
      </c>
      <c r="D63" s="222">
        <f>SUM(D64:D70)</f>
        <v>94345.6</v>
      </c>
      <c r="E63" s="222">
        <f>SUM(E64:E70)</f>
        <v>42705.5</v>
      </c>
      <c r="F63" s="222">
        <f>SUM(F64:F69)</f>
        <v>12.020000000000001</v>
      </c>
      <c r="G63" s="222">
        <f>SUM(G64:G69)</f>
        <v>64500</v>
      </c>
      <c r="H63" s="222">
        <f>SUM(H64:H69)</f>
        <v>19772.3</v>
      </c>
      <c r="I63" s="222">
        <f>SUM(I64:I69)</f>
        <v>12</v>
      </c>
      <c r="J63" s="222">
        <f>SUM(J64:J69)</f>
        <v>82594.6</v>
      </c>
      <c r="K63" s="222">
        <f>SUM(K64:K70)</f>
        <v>168153.5</v>
      </c>
    </row>
    <row r="64" spans="1:11" ht="75.75" customHeight="1">
      <c r="A64" s="645" t="s">
        <v>257</v>
      </c>
      <c r="B64" s="721" t="s">
        <v>121</v>
      </c>
      <c r="C64" s="204">
        <v>3</v>
      </c>
      <c r="D64" s="204">
        <v>23946.5</v>
      </c>
      <c r="E64" s="223"/>
      <c r="F64" s="224">
        <v>3.5</v>
      </c>
      <c r="G64" s="224">
        <f>49000-24500</f>
        <v>24500</v>
      </c>
      <c r="H64" s="223"/>
      <c r="I64" s="224">
        <v>3</v>
      </c>
      <c r="J64" s="224">
        <v>30000</v>
      </c>
      <c r="K64" s="223"/>
    </row>
    <row r="65" spans="1:11" ht="12.75">
      <c r="A65" s="647" t="s">
        <v>323</v>
      </c>
      <c r="B65" s="721" t="s">
        <v>121</v>
      </c>
      <c r="C65" s="204">
        <v>2.74</v>
      </c>
      <c r="D65" s="204">
        <f>33829.4-430.3</f>
        <v>33399.1</v>
      </c>
      <c r="E65" s="205"/>
      <c r="F65" s="204">
        <v>4</v>
      </c>
      <c r="G65" s="204">
        <v>28000</v>
      </c>
      <c r="H65" s="205"/>
      <c r="I65" s="204">
        <v>4</v>
      </c>
      <c r="J65" s="204">
        <v>32594.6</v>
      </c>
      <c r="K65" s="205"/>
    </row>
    <row r="66" spans="1:11" ht="25.5">
      <c r="A66" s="728" t="s">
        <v>38</v>
      </c>
      <c r="B66" s="721" t="s">
        <v>121</v>
      </c>
      <c r="C66" s="235">
        <v>1.2</v>
      </c>
      <c r="D66" s="235"/>
      <c r="E66" s="235">
        <v>12705.5</v>
      </c>
      <c r="F66" s="235">
        <v>2.8</v>
      </c>
      <c r="G66" s="235"/>
      <c r="H66" s="235">
        <v>19772.3</v>
      </c>
      <c r="I66" s="235"/>
      <c r="J66" s="235"/>
      <c r="K66" s="235"/>
    </row>
    <row r="67" spans="1:11" ht="46.5" customHeight="1">
      <c r="A67" s="728" t="s">
        <v>229</v>
      </c>
      <c r="B67" s="721" t="s">
        <v>121</v>
      </c>
      <c r="C67" s="235">
        <v>3.16</v>
      </c>
      <c r="D67" s="235">
        <v>22000</v>
      </c>
      <c r="E67" s="235"/>
      <c r="F67" s="235">
        <v>1.72</v>
      </c>
      <c r="G67" s="235">
        <f>7000+5000</f>
        <v>12000</v>
      </c>
      <c r="H67" s="235"/>
      <c r="I67" s="235">
        <v>2</v>
      </c>
      <c r="J67" s="235">
        <v>20000</v>
      </c>
      <c r="K67" s="235"/>
    </row>
    <row r="68" spans="1:11" ht="12.75" hidden="1">
      <c r="A68" s="728" t="s">
        <v>282</v>
      </c>
      <c r="B68" s="721" t="s">
        <v>121</v>
      </c>
      <c r="C68" s="235">
        <v>6.7</v>
      </c>
      <c r="D68" s="235">
        <v>15000</v>
      </c>
      <c r="E68" s="235"/>
      <c r="F68" s="235"/>
      <c r="G68" s="235">
        <f>17365.4-13312-4053.4</f>
        <v>0</v>
      </c>
      <c r="H68" s="235"/>
      <c r="I68" s="235"/>
      <c r="J68" s="235">
        <f>17365.4-13312-4053.4</f>
        <v>0</v>
      </c>
      <c r="K68" s="235"/>
    </row>
    <row r="69" spans="1:11" ht="24">
      <c r="A69" s="728" t="s">
        <v>324</v>
      </c>
      <c r="B69" s="721" t="s">
        <v>121</v>
      </c>
      <c r="C69" s="235"/>
      <c r="D69" s="235"/>
      <c r="E69" s="235"/>
      <c r="F69" s="235"/>
      <c r="G69" s="235"/>
      <c r="H69" s="235"/>
      <c r="I69" s="235">
        <v>3</v>
      </c>
      <c r="J69" s="235"/>
      <c r="K69" s="235">
        <v>18153.5</v>
      </c>
    </row>
    <row r="70" spans="1:11" ht="12.75">
      <c r="A70" s="729" t="s">
        <v>284</v>
      </c>
      <c r="B70" s="721" t="s">
        <v>121</v>
      </c>
      <c r="C70" s="238">
        <v>1.5</v>
      </c>
      <c r="D70" s="238"/>
      <c r="E70" s="238">
        <v>30000</v>
      </c>
      <c r="F70" s="238"/>
      <c r="G70" s="238"/>
      <c r="H70" s="238"/>
      <c r="I70" s="238"/>
      <c r="J70" s="238"/>
      <c r="K70" s="238">
        <v>150000</v>
      </c>
    </row>
    <row r="71" spans="1:11" ht="14.25">
      <c r="A71" s="87" t="s">
        <v>128</v>
      </c>
      <c r="B71" s="88"/>
      <c r="C71" s="222">
        <f aca="true" t="shared" si="13" ref="C71:K71">SUM(C72:C73)</f>
        <v>7.3</v>
      </c>
      <c r="D71" s="222">
        <f t="shared" si="13"/>
        <v>40000</v>
      </c>
      <c r="E71" s="222">
        <f t="shared" si="13"/>
        <v>15887.1</v>
      </c>
      <c r="F71" s="222">
        <f t="shared" si="13"/>
        <v>3.2</v>
      </c>
      <c r="G71" s="222">
        <f t="shared" si="13"/>
        <v>28000</v>
      </c>
      <c r="H71" s="222">
        <f t="shared" si="13"/>
        <v>0</v>
      </c>
      <c r="I71" s="222">
        <f t="shared" si="13"/>
        <v>2.06</v>
      </c>
      <c r="J71" s="222">
        <f t="shared" si="13"/>
        <v>0</v>
      </c>
      <c r="K71" s="222">
        <f t="shared" si="13"/>
        <v>22699.4</v>
      </c>
    </row>
    <row r="72" spans="1:11" ht="12.75">
      <c r="A72" s="659" t="s">
        <v>326</v>
      </c>
      <c r="B72" s="633" t="s">
        <v>121</v>
      </c>
      <c r="C72" s="202">
        <v>5</v>
      </c>
      <c r="D72" s="202">
        <v>40000</v>
      </c>
      <c r="E72" s="202"/>
      <c r="F72" s="202">
        <v>3.2</v>
      </c>
      <c r="G72" s="202">
        <v>28000</v>
      </c>
      <c r="H72" s="202"/>
      <c r="I72" s="202"/>
      <c r="J72" s="202"/>
      <c r="K72" s="202"/>
    </row>
    <row r="73" spans="1:11" ht="12.75">
      <c r="A73" s="660" t="s">
        <v>327</v>
      </c>
      <c r="B73" s="97" t="s">
        <v>115</v>
      </c>
      <c r="C73" s="235">
        <v>2.3</v>
      </c>
      <c r="D73" s="235"/>
      <c r="E73" s="235">
        <v>15887.1</v>
      </c>
      <c r="F73" s="235"/>
      <c r="G73" s="235"/>
      <c r="H73" s="235"/>
      <c r="I73" s="235">
        <v>2.06</v>
      </c>
      <c r="J73" s="235"/>
      <c r="K73" s="295">
        <v>22699.4</v>
      </c>
    </row>
    <row r="74" spans="1:11" ht="14.25">
      <c r="A74" s="87" t="s">
        <v>263</v>
      </c>
      <c r="B74" s="126"/>
      <c r="C74" s="222">
        <f aca="true" t="shared" si="14" ref="C74:K74">SUM(C75:C76)</f>
        <v>0</v>
      </c>
      <c r="D74" s="222">
        <f t="shared" si="14"/>
        <v>0</v>
      </c>
      <c r="E74" s="222">
        <f t="shared" si="14"/>
        <v>0</v>
      </c>
      <c r="F74" s="222">
        <f t="shared" si="14"/>
        <v>5.4</v>
      </c>
      <c r="G74" s="222">
        <f t="shared" si="14"/>
        <v>28000</v>
      </c>
      <c r="H74" s="222">
        <f t="shared" si="14"/>
        <v>9796.8</v>
      </c>
      <c r="I74" s="222">
        <f t="shared" si="14"/>
        <v>7</v>
      </c>
      <c r="J74" s="222">
        <f t="shared" si="14"/>
        <v>30000</v>
      </c>
      <c r="K74" s="222">
        <f t="shared" si="14"/>
        <v>18602.5</v>
      </c>
    </row>
    <row r="75" spans="1:11" ht="24">
      <c r="A75" s="660" t="s">
        <v>266</v>
      </c>
      <c r="B75" s="97" t="s">
        <v>115</v>
      </c>
      <c r="C75" s="263"/>
      <c r="D75" s="263"/>
      <c r="E75" s="263"/>
      <c r="F75" s="296">
        <v>1.4</v>
      </c>
      <c r="G75" s="296"/>
      <c r="H75" s="235">
        <v>9796.8</v>
      </c>
      <c r="I75" s="263">
        <v>2</v>
      </c>
      <c r="J75" s="263"/>
      <c r="K75" s="263">
        <v>18602.5</v>
      </c>
    </row>
    <row r="76" spans="1:11" ht="12.75">
      <c r="A76" s="644" t="s">
        <v>328</v>
      </c>
      <c r="B76" s="98" t="s">
        <v>121</v>
      </c>
      <c r="C76" s="238"/>
      <c r="D76" s="238"/>
      <c r="E76" s="238"/>
      <c r="F76" s="238">
        <v>4</v>
      </c>
      <c r="G76" s="238">
        <v>28000</v>
      </c>
      <c r="H76" s="238"/>
      <c r="I76" s="238">
        <v>5</v>
      </c>
      <c r="J76" s="238">
        <v>30000</v>
      </c>
      <c r="K76" s="238"/>
    </row>
    <row r="77" spans="1:11" ht="14.25">
      <c r="A77" s="87" t="s">
        <v>329</v>
      </c>
      <c r="B77" s="88"/>
      <c r="C77" s="222">
        <f aca="true" t="shared" si="15" ref="C77:K77">SUM(C78:C79)</f>
        <v>1.27</v>
      </c>
      <c r="D77" s="222">
        <f t="shared" si="15"/>
        <v>14752.3</v>
      </c>
      <c r="E77" s="222">
        <f t="shared" si="15"/>
        <v>0</v>
      </c>
      <c r="F77" s="222">
        <f t="shared" si="15"/>
        <v>0</v>
      </c>
      <c r="G77" s="222">
        <f t="shared" si="15"/>
        <v>0</v>
      </c>
      <c r="H77" s="222">
        <f t="shared" si="15"/>
        <v>5000</v>
      </c>
      <c r="I77" s="222">
        <f t="shared" si="15"/>
        <v>3.5</v>
      </c>
      <c r="J77" s="222">
        <f t="shared" si="15"/>
        <v>45000</v>
      </c>
      <c r="K77" s="222">
        <f t="shared" si="15"/>
        <v>0</v>
      </c>
    </row>
    <row r="78" spans="1:11" ht="12.75">
      <c r="A78" s="660" t="s">
        <v>319</v>
      </c>
      <c r="B78" s="97"/>
      <c r="C78" s="205"/>
      <c r="D78" s="205"/>
      <c r="E78" s="205"/>
      <c r="F78" s="205"/>
      <c r="G78" s="205"/>
      <c r="H78" s="204">
        <v>5000</v>
      </c>
      <c r="I78" s="205"/>
      <c r="J78" s="204">
        <v>3000</v>
      </c>
      <c r="K78" s="204"/>
    </row>
    <row r="79" spans="1:11" ht="12.75">
      <c r="A79" s="718" t="s">
        <v>260</v>
      </c>
      <c r="B79" s="98" t="s">
        <v>121</v>
      </c>
      <c r="C79" s="238">
        <v>1.27</v>
      </c>
      <c r="D79" s="238">
        <f>14000+752.3</f>
        <v>14752.3</v>
      </c>
      <c r="E79" s="98"/>
      <c r="F79" s="209"/>
      <c r="G79" s="209"/>
      <c r="H79" s="98"/>
      <c r="I79" s="209">
        <v>3.5</v>
      </c>
      <c r="J79" s="209">
        <f>12000+30000</f>
        <v>42000</v>
      </c>
      <c r="K79" s="98"/>
    </row>
    <row r="80" spans="1:11" ht="14.25">
      <c r="A80" s="92" t="s">
        <v>267</v>
      </c>
      <c r="B80" s="713"/>
      <c r="C80" s="222">
        <f aca="true" t="shared" si="16" ref="C80:K80">SUM(C81:C81)</f>
        <v>0</v>
      </c>
      <c r="D80" s="222">
        <f t="shared" si="16"/>
        <v>0</v>
      </c>
      <c r="E80" s="222">
        <f t="shared" si="16"/>
        <v>0</v>
      </c>
      <c r="F80" s="222">
        <f t="shared" si="16"/>
        <v>3.9</v>
      </c>
      <c r="G80" s="222">
        <f t="shared" si="16"/>
        <v>28000</v>
      </c>
      <c r="H80" s="222">
        <f t="shared" si="16"/>
        <v>0</v>
      </c>
      <c r="I80" s="222">
        <f t="shared" si="16"/>
        <v>0</v>
      </c>
      <c r="J80" s="222">
        <f t="shared" si="16"/>
        <v>0</v>
      </c>
      <c r="K80" s="222">
        <f t="shared" si="16"/>
        <v>0</v>
      </c>
    </row>
    <row r="81" spans="1:11" ht="12.75">
      <c r="A81" s="686" t="s">
        <v>330</v>
      </c>
      <c r="B81" s="95" t="s">
        <v>115</v>
      </c>
      <c r="C81" s="202"/>
      <c r="D81" s="202"/>
      <c r="E81" s="202"/>
      <c r="F81" s="202">
        <v>3.9</v>
      </c>
      <c r="G81" s="202">
        <v>28000</v>
      </c>
      <c r="H81" s="202"/>
      <c r="I81" s="202"/>
      <c r="J81" s="202"/>
      <c r="K81" s="202"/>
    </row>
    <row r="82" spans="1:11" ht="14.25">
      <c r="A82" s="92" t="s">
        <v>270</v>
      </c>
      <c r="B82" s="89"/>
      <c r="C82" s="229">
        <f aca="true" t="shared" si="17" ref="C82:H82">SUM(C83:C86)</f>
        <v>7.1</v>
      </c>
      <c r="D82" s="229">
        <f t="shared" si="17"/>
        <v>49915.9</v>
      </c>
      <c r="E82" s="229">
        <f t="shared" si="17"/>
        <v>0</v>
      </c>
      <c r="F82" s="229">
        <f t="shared" si="17"/>
        <v>13.1</v>
      </c>
      <c r="G82" s="229">
        <f t="shared" si="17"/>
        <v>63195.3</v>
      </c>
      <c r="H82" s="229">
        <f t="shared" si="17"/>
        <v>30495</v>
      </c>
      <c r="I82" s="229">
        <f>SUM(I83:I88)</f>
        <v>7.5</v>
      </c>
      <c r="J82" s="229">
        <f>SUM(J83:J88)</f>
        <v>30000</v>
      </c>
      <c r="K82" s="229">
        <f>SUM(K83:K88)</f>
        <v>21998.4</v>
      </c>
    </row>
    <row r="83" spans="1:11" ht="12.75">
      <c r="A83" s="730" t="s">
        <v>300</v>
      </c>
      <c r="B83" s="731" t="s">
        <v>121</v>
      </c>
      <c r="C83" s="293"/>
      <c r="D83" s="293"/>
      <c r="E83" s="293"/>
      <c r="F83" s="292">
        <v>4</v>
      </c>
      <c r="G83" s="292">
        <v>28000</v>
      </c>
      <c r="H83" s="293"/>
      <c r="I83" s="292"/>
      <c r="J83" s="292"/>
      <c r="K83" s="293"/>
    </row>
    <row r="84" spans="1:11" ht="24">
      <c r="A84" s="670" t="s">
        <v>257</v>
      </c>
      <c r="B84" s="732" t="s">
        <v>121</v>
      </c>
      <c r="C84" s="235">
        <v>5.1</v>
      </c>
      <c r="D84" s="235">
        <v>35565.9</v>
      </c>
      <c r="E84" s="235"/>
      <c r="F84" s="235">
        <v>4.1</v>
      </c>
      <c r="G84" s="235">
        <v>35195.3</v>
      </c>
      <c r="H84" s="235"/>
      <c r="I84" s="235">
        <v>4</v>
      </c>
      <c r="J84" s="235">
        <v>30000</v>
      </c>
      <c r="K84" s="235"/>
    </row>
    <row r="85" spans="1:11" ht="12.75" hidden="1">
      <c r="A85" s="670" t="s">
        <v>189</v>
      </c>
      <c r="B85" s="732" t="s">
        <v>121</v>
      </c>
      <c r="C85" s="235">
        <v>2</v>
      </c>
      <c r="D85" s="235">
        <v>14350</v>
      </c>
      <c r="E85" s="235"/>
      <c r="F85" s="235"/>
      <c r="G85" s="235"/>
      <c r="H85" s="235"/>
      <c r="I85" s="235"/>
      <c r="J85" s="235"/>
      <c r="K85" s="235"/>
    </row>
    <row r="86" spans="1:11" ht="12.75">
      <c r="A86" s="670" t="s">
        <v>332</v>
      </c>
      <c r="B86" s="281" t="s">
        <v>115</v>
      </c>
      <c r="C86" s="235"/>
      <c r="D86" s="235"/>
      <c r="E86" s="235"/>
      <c r="F86" s="235">
        <v>5</v>
      </c>
      <c r="G86" s="235"/>
      <c r="H86" s="235">
        <v>30495</v>
      </c>
      <c r="I86" s="235"/>
      <c r="J86" s="235"/>
      <c r="K86" s="235"/>
    </row>
    <row r="87" spans="1:11" ht="12.75">
      <c r="A87" s="670" t="s">
        <v>345</v>
      </c>
      <c r="B87" s="281" t="s">
        <v>115</v>
      </c>
      <c r="C87" s="235"/>
      <c r="D87" s="235"/>
      <c r="E87" s="235"/>
      <c r="F87" s="235"/>
      <c r="G87" s="235"/>
      <c r="H87" s="235"/>
      <c r="I87" s="235">
        <v>1.8</v>
      </c>
      <c r="J87" s="235"/>
      <c r="K87" s="235">
        <v>11298.4</v>
      </c>
    </row>
    <row r="88" spans="1:11" ht="12.75">
      <c r="A88" s="670" t="s">
        <v>346</v>
      </c>
      <c r="B88" s="732" t="s">
        <v>121</v>
      </c>
      <c r="C88" s="238"/>
      <c r="D88" s="238"/>
      <c r="E88" s="238"/>
      <c r="F88" s="238"/>
      <c r="G88" s="238"/>
      <c r="H88" s="238"/>
      <c r="I88" s="238">
        <v>1.7</v>
      </c>
      <c r="J88" s="238"/>
      <c r="K88" s="238">
        <v>10700</v>
      </c>
    </row>
    <row r="89" spans="1:11" ht="14.25">
      <c r="A89" s="87" t="s">
        <v>129</v>
      </c>
      <c r="B89" s="733"/>
      <c r="C89" s="231">
        <f aca="true" t="shared" si="18" ref="C89:K89">SUM(C90:C90)</f>
        <v>0</v>
      </c>
      <c r="D89" s="231">
        <f t="shared" si="18"/>
        <v>0</v>
      </c>
      <c r="E89" s="231">
        <f t="shared" si="18"/>
        <v>0</v>
      </c>
      <c r="F89" s="231">
        <f t="shared" si="18"/>
        <v>4.1</v>
      </c>
      <c r="G89" s="231">
        <f t="shared" si="18"/>
        <v>28000</v>
      </c>
      <c r="H89" s="231">
        <f t="shared" si="18"/>
        <v>0</v>
      </c>
      <c r="I89" s="231">
        <f t="shared" si="18"/>
        <v>0</v>
      </c>
      <c r="J89" s="231">
        <f t="shared" si="18"/>
        <v>0</v>
      </c>
      <c r="K89" s="231">
        <f t="shared" si="18"/>
        <v>0</v>
      </c>
    </row>
    <row r="90" spans="1:11" ht="24">
      <c r="A90" s="718" t="s">
        <v>333</v>
      </c>
      <c r="B90" s="98" t="s">
        <v>115</v>
      </c>
      <c r="C90" s="206"/>
      <c r="D90" s="206"/>
      <c r="E90" s="206"/>
      <c r="F90" s="206">
        <v>4.1</v>
      </c>
      <c r="G90" s="206">
        <v>28000</v>
      </c>
      <c r="H90" s="206"/>
      <c r="I90" s="206"/>
      <c r="J90" s="206"/>
      <c r="K90" s="206"/>
    </row>
    <row r="91" spans="1:11" ht="14.25" hidden="1">
      <c r="A91" s="92" t="s">
        <v>277</v>
      </c>
      <c r="B91" s="713"/>
      <c r="C91" s="222">
        <f aca="true" t="shared" si="19" ref="C91:K91">SUM(C92:C93)</f>
        <v>0.565</v>
      </c>
      <c r="D91" s="222">
        <f t="shared" si="19"/>
        <v>1020.4</v>
      </c>
      <c r="E91" s="222">
        <f t="shared" si="19"/>
        <v>7604.599999999999</v>
      </c>
      <c r="F91" s="222">
        <f t="shared" si="19"/>
        <v>0</v>
      </c>
      <c r="G91" s="222">
        <f t="shared" si="19"/>
        <v>0</v>
      </c>
      <c r="H91" s="222">
        <f t="shared" si="19"/>
        <v>0</v>
      </c>
      <c r="I91" s="222">
        <f t="shared" si="19"/>
        <v>0</v>
      </c>
      <c r="J91" s="222">
        <f t="shared" si="19"/>
        <v>0</v>
      </c>
      <c r="K91" s="222">
        <f t="shared" si="19"/>
        <v>0</v>
      </c>
    </row>
    <row r="92" spans="1:11" ht="12.75" hidden="1">
      <c r="A92" s="715" t="s">
        <v>319</v>
      </c>
      <c r="B92" s="709"/>
      <c r="C92" s="203"/>
      <c r="D92" s="203">
        <v>1020.4</v>
      </c>
      <c r="E92" s="203"/>
      <c r="F92" s="203"/>
      <c r="G92" s="203"/>
      <c r="H92" s="203"/>
      <c r="I92" s="203"/>
      <c r="J92" s="203"/>
      <c r="K92" s="203"/>
    </row>
    <row r="93" spans="1:11" ht="12.75" hidden="1">
      <c r="A93" s="718" t="s">
        <v>334</v>
      </c>
      <c r="B93" s="98" t="s">
        <v>115</v>
      </c>
      <c r="C93" s="206">
        <v>0.565</v>
      </c>
      <c r="D93" s="206"/>
      <c r="E93" s="206">
        <f>7604.9-0.3</f>
        <v>7604.599999999999</v>
      </c>
      <c r="F93" s="206"/>
      <c r="G93" s="206"/>
      <c r="H93" s="206"/>
      <c r="I93" s="206"/>
      <c r="J93" s="206"/>
      <c r="K93" s="206"/>
    </row>
    <row r="94" spans="1:11" ht="14.25">
      <c r="A94" s="92" t="s">
        <v>280</v>
      </c>
      <c r="B94" s="126"/>
      <c r="C94" s="222">
        <f aca="true" t="shared" si="20" ref="C94:K94">SUM(C95:C95)</f>
        <v>0</v>
      </c>
      <c r="D94" s="222">
        <f t="shared" si="20"/>
        <v>0</v>
      </c>
      <c r="E94" s="222">
        <f t="shared" si="20"/>
        <v>0</v>
      </c>
      <c r="F94" s="222">
        <f t="shared" si="20"/>
        <v>2.9</v>
      </c>
      <c r="G94" s="222">
        <f t="shared" si="20"/>
        <v>20000</v>
      </c>
      <c r="H94" s="222">
        <f t="shared" si="20"/>
        <v>0</v>
      </c>
      <c r="I94" s="222">
        <f t="shared" si="20"/>
        <v>0</v>
      </c>
      <c r="J94" s="222">
        <f t="shared" si="20"/>
        <v>0</v>
      </c>
      <c r="K94" s="222">
        <f t="shared" si="20"/>
        <v>0</v>
      </c>
    </row>
    <row r="95" spans="1:11" ht="12.75">
      <c r="A95" s="686" t="s">
        <v>335</v>
      </c>
      <c r="B95" s="91" t="s">
        <v>121</v>
      </c>
      <c r="C95" s="222"/>
      <c r="D95" s="222"/>
      <c r="E95" s="222"/>
      <c r="F95" s="240">
        <v>2.9</v>
      </c>
      <c r="G95" s="240">
        <f>60000-30000-10000</f>
        <v>20000</v>
      </c>
      <c r="H95" s="222"/>
      <c r="I95" s="240"/>
      <c r="J95" s="240"/>
      <c r="K95" s="222"/>
    </row>
    <row r="96" spans="1:11" ht="14.25">
      <c r="A96" s="87" t="s">
        <v>287</v>
      </c>
      <c r="B96" s="187"/>
      <c r="C96" s="227"/>
      <c r="D96" s="227"/>
      <c r="E96" s="227"/>
      <c r="F96" s="231">
        <f aca="true" t="shared" si="21" ref="F96:K96">F97</f>
        <v>2.58</v>
      </c>
      <c r="G96" s="231">
        <f t="shared" si="21"/>
        <v>18000</v>
      </c>
      <c r="H96" s="227">
        <f t="shared" si="21"/>
        <v>0</v>
      </c>
      <c r="I96" s="231">
        <f t="shared" si="21"/>
        <v>0</v>
      </c>
      <c r="J96" s="231">
        <f t="shared" si="21"/>
        <v>0</v>
      </c>
      <c r="K96" s="231">
        <f t="shared" si="21"/>
        <v>0</v>
      </c>
    </row>
    <row r="97" spans="1:11" ht="12.75">
      <c r="A97" s="734" t="s">
        <v>407</v>
      </c>
      <c r="B97" s="91" t="s">
        <v>121</v>
      </c>
      <c r="C97" s="227"/>
      <c r="D97" s="227"/>
      <c r="E97" s="227"/>
      <c r="F97" s="227">
        <v>2.58</v>
      </c>
      <c r="G97" s="227">
        <v>18000</v>
      </c>
      <c r="H97" s="227"/>
      <c r="I97" s="227"/>
      <c r="J97" s="227"/>
      <c r="K97" s="227"/>
    </row>
    <row r="98" spans="1:11" ht="14.25">
      <c r="A98" s="87" t="s">
        <v>290</v>
      </c>
      <c r="B98" s="187"/>
      <c r="C98" s="231">
        <f aca="true" t="shared" si="22" ref="C98:K98">SUM(C99:C100)</f>
        <v>0</v>
      </c>
      <c r="D98" s="231">
        <f t="shared" si="22"/>
        <v>0</v>
      </c>
      <c r="E98" s="231">
        <f t="shared" si="22"/>
        <v>0</v>
      </c>
      <c r="F98" s="231">
        <f t="shared" si="22"/>
        <v>3.9699999999999998</v>
      </c>
      <c r="G98" s="231">
        <f t="shared" si="22"/>
        <v>0</v>
      </c>
      <c r="H98" s="231">
        <f t="shared" si="22"/>
        <v>25897.9</v>
      </c>
      <c r="I98" s="231">
        <f t="shared" si="22"/>
        <v>0</v>
      </c>
      <c r="J98" s="231">
        <f t="shared" si="22"/>
        <v>0</v>
      </c>
      <c r="K98" s="231">
        <f t="shared" si="22"/>
        <v>0</v>
      </c>
    </row>
    <row r="99" spans="1:11" ht="12.75">
      <c r="A99" s="686" t="s">
        <v>461</v>
      </c>
      <c r="B99" s="95" t="s">
        <v>115</v>
      </c>
      <c r="C99" s="202"/>
      <c r="D99" s="202"/>
      <c r="E99" s="202"/>
      <c r="F99" s="202">
        <v>2.77</v>
      </c>
      <c r="G99" s="202"/>
      <c r="H99" s="202">
        <v>18000</v>
      </c>
      <c r="I99" s="202"/>
      <c r="J99" s="202"/>
      <c r="K99" s="202"/>
    </row>
    <row r="100" spans="1:11" ht="12.75">
      <c r="A100" s="715" t="s">
        <v>337</v>
      </c>
      <c r="B100" s="97" t="s">
        <v>115</v>
      </c>
      <c r="C100" s="203"/>
      <c r="D100" s="203"/>
      <c r="E100" s="203"/>
      <c r="F100" s="203">
        <v>1.2</v>
      </c>
      <c r="G100" s="203"/>
      <c r="H100" s="203">
        <v>7897.9</v>
      </c>
      <c r="I100" s="203"/>
      <c r="J100" s="203"/>
      <c r="K100" s="203"/>
    </row>
    <row r="101" spans="1:11" ht="21" customHeight="1">
      <c r="A101" s="100" t="s">
        <v>130</v>
      </c>
      <c r="B101" s="689">
        <v>0</v>
      </c>
      <c r="C101" s="102">
        <f aca="true" t="shared" si="23" ref="C101:K101">C8+C18+C25+C32+C36+C41+C43+C48+C53+C56+C63+C71+C77+C80+C82+C89+C91+C94+C12+C16++C23+C58+C74+C39+C98+C96+C61</f>
        <v>69.46</v>
      </c>
      <c r="D101" s="102">
        <f t="shared" si="23"/>
        <v>385855.00000000006</v>
      </c>
      <c r="E101" s="102">
        <f t="shared" si="23"/>
        <v>118727.20200000002</v>
      </c>
      <c r="F101" s="102">
        <f t="shared" si="23"/>
        <v>129.52</v>
      </c>
      <c r="G101" s="102">
        <f t="shared" si="23"/>
        <v>649278</v>
      </c>
      <c r="H101" s="102">
        <f t="shared" si="23"/>
        <v>217068.19999999998</v>
      </c>
      <c r="I101" s="102">
        <f t="shared" si="23"/>
        <v>90.96000000000001</v>
      </c>
      <c r="J101" s="102">
        <f t="shared" si="23"/>
        <v>445577.8</v>
      </c>
      <c r="K101" s="102">
        <f t="shared" si="23"/>
        <v>373512.00000000006</v>
      </c>
    </row>
    <row r="102" spans="1:11" ht="12" customHeight="1">
      <c r="A102" s="691" t="s">
        <v>293</v>
      </c>
      <c r="B102" s="73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2.75">
      <c r="A103" s="693" t="s">
        <v>132</v>
      </c>
      <c r="B103" s="736"/>
      <c r="C103" s="242"/>
      <c r="D103" s="243">
        <v>1500</v>
      </c>
      <c r="E103" s="243">
        <v>800</v>
      </c>
      <c r="F103" s="242"/>
      <c r="G103" s="243">
        <f>2000+3000</f>
        <v>5000</v>
      </c>
      <c r="H103" s="243">
        <f>1000+3000</f>
        <v>4000</v>
      </c>
      <c r="I103" s="242"/>
      <c r="J103" s="243">
        <v>1600</v>
      </c>
      <c r="K103" s="243">
        <v>800</v>
      </c>
    </row>
    <row r="104" spans="1:11" ht="12.75">
      <c r="A104" s="737" t="s">
        <v>338</v>
      </c>
      <c r="B104" s="73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1:11" ht="18" customHeight="1">
      <c r="A105" s="695" t="s">
        <v>339</v>
      </c>
      <c r="B105" s="739"/>
      <c r="C105" s="244">
        <f aca="true" t="shared" si="24" ref="C105:K105">SUM(C101:C104)</f>
        <v>69.46</v>
      </c>
      <c r="D105" s="102">
        <f t="shared" si="24"/>
        <v>387355.00000000006</v>
      </c>
      <c r="E105" s="102">
        <f t="shared" si="24"/>
        <v>119527.20200000002</v>
      </c>
      <c r="F105" s="244">
        <f t="shared" si="24"/>
        <v>129.52</v>
      </c>
      <c r="G105" s="102">
        <f t="shared" si="24"/>
        <v>654278</v>
      </c>
      <c r="H105" s="102">
        <f t="shared" si="24"/>
        <v>221068.19999999998</v>
      </c>
      <c r="I105" s="244">
        <f t="shared" si="24"/>
        <v>90.96000000000001</v>
      </c>
      <c r="J105" s="102">
        <f t="shared" si="24"/>
        <v>447177.8</v>
      </c>
      <c r="K105" s="102">
        <f t="shared" si="24"/>
        <v>374312.00000000006</v>
      </c>
    </row>
    <row r="106" spans="1:11" ht="18" customHeight="1" hidden="1">
      <c r="A106" s="110"/>
      <c r="B106" s="740"/>
      <c r="C106" s="313"/>
      <c r="D106" s="112"/>
      <c r="E106" s="112"/>
      <c r="F106" s="313"/>
      <c r="G106" s="112"/>
      <c r="H106" s="112"/>
      <c r="I106" s="313"/>
      <c r="J106" s="112"/>
      <c r="K106" s="112"/>
    </row>
    <row r="107" spans="1:11" ht="18" customHeight="1" hidden="1">
      <c r="A107" s="311"/>
      <c r="B107" s="740"/>
      <c r="C107" s="313"/>
      <c r="D107" s="112"/>
      <c r="E107" s="112"/>
      <c r="F107" s="313"/>
      <c r="G107" s="112"/>
      <c r="H107" s="112"/>
      <c r="I107" s="313"/>
      <c r="J107" s="112"/>
      <c r="K107" s="112"/>
    </row>
    <row r="108" spans="1:11" ht="18" customHeight="1" hidden="1">
      <c r="A108" s="109"/>
      <c r="B108" s="740"/>
      <c r="C108" s="313"/>
      <c r="D108" s="112"/>
      <c r="E108" s="112"/>
      <c r="F108" s="313"/>
      <c r="G108" s="112"/>
      <c r="H108" s="112"/>
      <c r="I108" s="313"/>
      <c r="J108" s="112"/>
      <c r="K108" s="112"/>
    </row>
    <row r="109" spans="1:11" ht="18" customHeight="1" hidden="1">
      <c r="A109" s="311"/>
      <c r="B109" s="740"/>
      <c r="C109" s="313"/>
      <c r="D109" s="112"/>
      <c r="E109" s="112"/>
      <c r="F109" s="313"/>
      <c r="G109" s="112"/>
      <c r="H109" s="112"/>
      <c r="I109" s="313"/>
      <c r="J109" s="112"/>
      <c r="K109" s="112"/>
    </row>
    <row r="110" spans="1:11" ht="18" customHeight="1" hidden="1">
      <c r="A110" s="110"/>
      <c r="B110" s="740"/>
      <c r="C110" s="112"/>
      <c r="D110" s="112">
        <f>D105+E105</f>
        <v>506882.20200000005</v>
      </c>
      <c r="E110" s="112"/>
      <c r="F110" s="112"/>
      <c r="G110" s="112">
        <f>G105+H105</f>
        <v>875346.2</v>
      </c>
      <c r="H110" s="112"/>
      <c r="I110" s="112"/>
      <c r="J110" s="1013">
        <f>J105+K105</f>
        <v>821489.8</v>
      </c>
      <c r="K110" s="112"/>
    </row>
    <row r="111" spans="1:11" ht="18" customHeight="1" hidden="1">
      <c r="A111" s="110"/>
      <c r="B111" s="740"/>
      <c r="C111" s="112"/>
      <c r="D111" s="112"/>
      <c r="E111" s="112">
        <f>D105+E105</f>
        <v>506882.20200000005</v>
      </c>
      <c r="F111" s="112"/>
      <c r="G111" s="112"/>
      <c r="H111" s="112">
        <f>G105+H105</f>
        <v>875346.2</v>
      </c>
      <c r="I111" s="112"/>
      <c r="J111" s="112">
        <f>J105+K105</f>
        <v>821489.8</v>
      </c>
      <c r="K111" s="112"/>
    </row>
    <row r="112" spans="1:11" ht="18" customHeight="1" hidden="1">
      <c r="A112" s="110"/>
      <c r="B112" s="740"/>
      <c r="C112" s="112"/>
      <c r="D112" s="112">
        <f>E111-E112</f>
        <v>-165667.79799999995</v>
      </c>
      <c r="E112" s="112">
        <v>672550</v>
      </c>
      <c r="F112" s="112"/>
      <c r="G112" s="112">
        <f>H111-H112</f>
        <v>169796.19999999995</v>
      </c>
      <c r="H112" s="112">
        <v>705550</v>
      </c>
      <c r="I112" s="112"/>
      <c r="J112" s="112">
        <v>1492395.9</v>
      </c>
      <c r="K112" s="112">
        <f>J111-J112</f>
        <v>-670906.0999999999</v>
      </c>
    </row>
    <row r="113" spans="1:10" ht="12.75" hidden="1">
      <c r="A113" s="741" t="s">
        <v>299</v>
      </c>
      <c r="B113" s="742"/>
      <c r="C113" s="246" t="e">
        <f>#REF!+C27+#REF!+#REF!+#REF!+C47+C49+#REF!+#REF!+C66+#REF!+#REF!+C69+C73+C93+#REF!</f>
        <v>#REF!</v>
      </c>
      <c r="D113" s="245"/>
      <c r="E113" s="245"/>
      <c r="F113" s="246" t="e">
        <f>F21+F27+#REF!+F31+F42+F47+F49+#REF!+F66+F73+F93</f>
        <v>#REF!</v>
      </c>
      <c r="G113" s="245"/>
      <c r="H113" s="245"/>
      <c r="I113" s="246" t="e">
        <f>I10+#REF!+I13+I20+I21+I31+I35+#REF!+I42+I44+#REF!+I62+#REF!+#REF!+I66+#REF!+#REF!+#REF!+I86+I99+I100+#REF!</f>
        <v>#REF!</v>
      </c>
      <c r="J113" s="245"/>
    </row>
    <row r="114" spans="1:10" ht="15.75" hidden="1">
      <c r="A114" s="741"/>
      <c r="B114" s="741"/>
      <c r="C114" s="247" t="e">
        <f>C19+C22+#REF!+C37+C40+C46+#REF!+C51+C57+C65+C67+C72+#REF!+C79+C83+#REF!</f>
        <v>#REF!</v>
      </c>
      <c r="D114" s="743" t="e">
        <f>D105+E105-#REF!-#REF!</f>
        <v>#REF!</v>
      </c>
      <c r="E114" s="247"/>
      <c r="F114" s="247">
        <f>F9+F14+F19+F22+F34+F37+F46+F51+F52+F57+F65+F67+F68+F72+F79+F84+F90</f>
        <v>40.82</v>
      </c>
      <c r="G114" s="247"/>
      <c r="H114" s="247"/>
      <c r="I114" s="245">
        <f>I14+I22+I26+I33+I34+I37+I40+I45+I46+I50+I51+I52+I54+I57+I59+I64+I65+I67+I72+I76+I81+I84+I83+I90+I95+I97</f>
        <v>56.5</v>
      </c>
      <c r="J114" s="247"/>
    </row>
    <row r="115" spans="1:11" ht="15.75" hidden="1">
      <c r="A115" s="741"/>
      <c r="B115" s="741"/>
      <c r="C115" s="248"/>
      <c r="D115" s="247" t="e">
        <f>2437367-D114</f>
        <v>#REF!</v>
      </c>
      <c r="E115" s="248"/>
      <c r="F115" s="248"/>
      <c r="G115" s="248"/>
      <c r="H115" s="248"/>
      <c r="I115" s="248"/>
      <c r="J115" s="248">
        <v>289821.9</v>
      </c>
      <c r="K115" s="77">
        <v>774164.2</v>
      </c>
    </row>
    <row r="116" spans="1:11" ht="15.75" hidden="1">
      <c r="A116" s="741"/>
      <c r="B116" s="741"/>
      <c r="C116" s="248"/>
      <c r="D116" s="248"/>
      <c r="E116" s="248"/>
      <c r="F116" s="248"/>
      <c r="G116" s="248"/>
      <c r="H116" s="248"/>
      <c r="I116" s="248"/>
      <c r="J116" s="249">
        <f>J105+J115</f>
        <v>736999.7</v>
      </c>
      <c r="K116" s="215">
        <f>K105+K115</f>
        <v>1148476.2</v>
      </c>
    </row>
    <row r="117" spans="1:11" ht="15.75" hidden="1">
      <c r="A117" s="741"/>
      <c r="B117" s="741"/>
      <c r="C117" s="248"/>
      <c r="D117" s="249">
        <f>103728.8+D105</f>
        <v>491083.80000000005</v>
      </c>
      <c r="E117" s="249">
        <f>466702.2+E105</f>
        <v>586229.402</v>
      </c>
      <c r="F117" s="248"/>
      <c r="G117" s="248">
        <v>424302.3</v>
      </c>
      <c r="H117" s="249">
        <f>H105+447649.7</f>
        <v>668717.9</v>
      </c>
      <c r="I117" s="248"/>
      <c r="J117" s="248" t="e">
        <f>J116*100/#REF!</f>
        <v>#REF!</v>
      </c>
      <c r="K117" s="77" t="e">
        <f>K116*100/#REF!</f>
        <v>#REF!</v>
      </c>
    </row>
    <row r="118" spans="1:10" ht="15.75" hidden="1">
      <c r="A118" s="741"/>
      <c r="B118" s="741"/>
      <c r="C118" s="248"/>
      <c r="D118" s="248" t="e">
        <f>D117*100/#REF!</f>
        <v>#REF!</v>
      </c>
      <c r="E118" s="248" t="e">
        <f>E117*100/#REF!</f>
        <v>#REF!</v>
      </c>
      <c r="F118" s="248"/>
      <c r="G118" s="248" t="e">
        <f>G117*100/#REF!</f>
        <v>#REF!</v>
      </c>
      <c r="H118" s="248" t="e">
        <f>H117*100/#REF!</f>
        <v>#REF!</v>
      </c>
      <c r="I118" s="248"/>
      <c r="J118" s="248"/>
    </row>
    <row r="119" spans="1:10" ht="15.75" hidden="1">
      <c r="A119" s="741"/>
      <c r="B119" s="741"/>
      <c r="C119" s="248"/>
      <c r="D119" s="248"/>
      <c r="E119" s="248"/>
      <c r="F119" s="248"/>
      <c r="G119" s="248"/>
      <c r="H119" s="248"/>
      <c r="I119" s="248"/>
      <c r="J119" s="248"/>
    </row>
    <row r="120" spans="1:10" ht="15.75" hidden="1">
      <c r="A120" s="741"/>
      <c r="B120" s="741"/>
      <c r="C120" s="248"/>
      <c r="D120" s="248"/>
      <c r="E120" s="248"/>
      <c r="F120" s="248"/>
      <c r="G120" s="248"/>
      <c r="H120" s="248"/>
      <c r="I120" s="248"/>
      <c r="J120" s="248"/>
    </row>
    <row r="121" spans="1:11" ht="15.75" hidden="1">
      <c r="A121" s="741"/>
      <c r="B121" s="741"/>
      <c r="C121" s="248"/>
      <c r="D121" s="248"/>
      <c r="E121" s="248"/>
      <c r="F121" s="248"/>
      <c r="G121" s="248"/>
      <c r="H121" s="248"/>
      <c r="I121" s="248"/>
      <c r="J121" s="249">
        <f>2556382-K105-'[1]т.6 к.рем. 2010-2012'!V154</f>
        <v>1233780</v>
      </c>
      <c r="K121" s="215">
        <f>2556382-J105-'[1]т.6 к.рем. 2010-2012'!U154</f>
        <v>1848518.1</v>
      </c>
    </row>
    <row r="122" spans="1:11" ht="15.75" hidden="1">
      <c r="A122" s="741"/>
      <c r="B122" s="741"/>
      <c r="C122" s="248"/>
      <c r="D122" s="248"/>
      <c r="E122" s="248"/>
      <c r="F122" s="248"/>
      <c r="G122" s="248"/>
      <c r="H122" s="248"/>
      <c r="I122" s="248"/>
      <c r="J122" s="216">
        <f>2556382-K122</f>
        <v>1056010</v>
      </c>
      <c r="K122" s="216">
        <v>1500372</v>
      </c>
    </row>
    <row r="123" spans="1:10" ht="15.75" hidden="1">
      <c r="A123" s="741"/>
      <c r="B123" s="741"/>
      <c r="C123" s="248"/>
      <c r="D123" s="248"/>
      <c r="E123" s="248"/>
      <c r="F123" s="248"/>
      <c r="G123" s="248"/>
      <c r="H123" s="248"/>
      <c r="I123" s="248"/>
      <c r="J123" s="248"/>
    </row>
    <row r="124" spans="1:11" ht="15.75" hidden="1">
      <c r="A124" s="741"/>
      <c r="B124" s="741"/>
      <c r="C124" s="248"/>
      <c r="D124" s="248"/>
      <c r="E124" s="248"/>
      <c r="F124" s="248"/>
      <c r="G124" s="248"/>
      <c r="H124" s="248"/>
      <c r="I124" s="248"/>
      <c r="J124" s="249">
        <f>J105+'[1]т.6 к.рем. 2010-2012'!U154</f>
        <v>707863.9</v>
      </c>
      <c r="K124" s="215">
        <f>K105+'[1]т.6 к.рем. 2010-2012'!V154</f>
        <v>1322602</v>
      </c>
    </row>
    <row r="125" spans="1:10" ht="15.75" hidden="1">
      <c r="A125" s="741"/>
      <c r="B125" s="741"/>
      <c r="C125" s="248"/>
      <c r="D125" s="248"/>
      <c r="E125" s="248"/>
      <c r="F125" s="248"/>
      <c r="G125" s="248"/>
      <c r="H125" s="248"/>
      <c r="I125" s="248"/>
      <c r="J125" s="248"/>
    </row>
    <row r="126" spans="1:11" ht="15.75" hidden="1">
      <c r="A126" s="741"/>
      <c r="B126" s="741"/>
      <c r="C126" s="248"/>
      <c r="D126" s="248"/>
      <c r="E126" s="248"/>
      <c r="F126" s="248"/>
      <c r="G126" s="248"/>
      <c r="H126" s="248"/>
      <c r="I126" s="248"/>
      <c r="J126" s="248"/>
      <c r="K126" s="215">
        <f>K122-K124</f>
        <v>177770</v>
      </c>
    </row>
    <row r="127" spans="1:10" ht="12.75" hidden="1">
      <c r="A127" s="744"/>
      <c r="B127" s="744"/>
      <c r="J127" s="215">
        <f>J122-J124</f>
        <v>348146.1</v>
      </c>
    </row>
    <row r="128" ht="12.75" hidden="1"/>
    <row r="129" ht="12.75" hidden="1">
      <c r="A129" s="148" t="s">
        <v>296</v>
      </c>
    </row>
    <row r="176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</sheetData>
  <sheetProtection/>
  <mergeCells count="6">
    <mergeCell ref="A3:K3"/>
    <mergeCell ref="F5:H5"/>
    <mergeCell ref="I5:K5"/>
    <mergeCell ref="A5:A7"/>
    <mergeCell ref="B5:B7"/>
    <mergeCell ref="C5:E5"/>
  </mergeCells>
  <conditionalFormatting sqref="B8:K112">
    <cfRule type="cellIs" priority="1" dxfId="0" operator="equal" stopIfTrue="1">
      <formula>0</formula>
    </cfRule>
  </conditionalFormatting>
  <printOptions horizontalCentered="1"/>
  <pageMargins left="0.1968503937007874" right="0.1968503937007874" top="0.4330708661417323" bottom="0.1968503937007874" header="0.31496062992125984" footer="0.5118110236220472"/>
  <pageSetup fitToHeight="8" fitToWidth="1" horizontalDpi="600" verticalDpi="600" orientation="portrait" paperSize="9" scale="94" r:id="rId3"/>
  <rowBreaks count="1" manualBreakCount="1">
    <brk id="50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46"/>
  <sheetViews>
    <sheetView view="pageBreakPreview" zoomScale="60" zoomScaleNormal="75" workbookViewId="0" topLeftCell="A1">
      <selection activeCell="G13" sqref="G13"/>
    </sheetView>
  </sheetViews>
  <sheetFormatPr defaultColWidth="9.00390625" defaultRowHeight="12.75"/>
  <cols>
    <col min="1" max="1" width="6.875" style="138" customWidth="1"/>
    <col min="2" max="2" width="8.125" style="138" customWidth="1"/>
    <col min="3" max="3" width="9.625" style="138" customWidth="1"/>
    <col min="4" max="4" width="5.875" style="138" customWidth="1"/>
    <col min="5" max="5" width="65.75390625" style="138" customWidth="1"/>
    <col min="6" max="6" width="15.75390625" style="138" customWidth="1"/>
    <col min="7" max="8" width="13.75390625" style="138" customWidth="1"/>
    <col min="9" max="16384" width="9.125" style="138" customWidth="1"/>
  </cols>
  <sheetData>
    <row r="1" spans="5:8" ht="73.5" customHeight="1">
      <c r="E1" s="551"/>
      <c r="F1" s="886" t="s">
        <v>182</v>
      </c>
      <c r="G1" s="886"/>
      <c r="H1" s="886"/>
    </row>
    <row r="2" spans="1:8" ht="38.25" customHeight="1">
      <c r="A2" s="889" t="s">
        <v>191</v>
      </c>
      <c r="B2" s="889"/>
      <c r="C2" s="889"/>
      <c r="D2" s="889"/>
      <c r="E2" s="889"/>
      <c r="F2" s="889"/>
      <c r="G2" s="889"/>
      <c r="H2" s="889"/>
    </row>
    <row r="3" spans="1:8" ht="21.75" customHeight="1" thickBot="1">
      <c r="A3" s="139"/>
      <c r="B3" s="139"/>
      <c r="C3" s="139"/>
      <c r="D3" s="139"/>
      <c r="E3" s="139"/>
      <c r="G3" s="140"/>
      <c r="H3" s="745" t="s">
        <v>481</v>
      </c>
    </row>
    <row r="4" spans="1:8" ht="31.5" customHeight="1">
      <c r="A4" s="865" t="s">
        <v>156</v>
      </c>
      <c r="B4" s="867" t="s">
        <v>157</v>
      </c>
      <c r="C4" s="857"/>
      <c r="D4" s="858"/>
      <c r="E4" s="891" t="s">
        <v>158</v>
      </c>
      <c r="F4" s="895">
        <v>2012</v>
      </c>
      <c r="G4" s="895">
        <v>2013</v>
      </c>
      <c r="H4" s="893">
        <v>2014</v>
      </c>
    </row>
    <row r="5" spans="1:8" ht="35.25" customHeight="1" thickBot="1">
      <c r="A5" s="866"/>
      <c r="B5" s="859"/>
      <c r="C5" s="860"/>
      <c r="D5" s="861"/>
      <c r="E5" s="892"/>
      <c r="F5" s="896"/>
      <c r="G5" s="896"/>
      <c r="H5" s="894"/>
    </row>
    <row r="6" spans="1:8" ht="16.5" customHeight="1" thickBot="1">
      <c r="A6" s="141">
        <v>1</v>
      </c>
      <c r="B6" s="890">
        <v>2</v>
      </c>
      <c r="C6" s="890"/>
      <c r="D6" s="890"/>
      <c r="E6" s="142">
        <v>3</v>
      </c>
      <c r="F6" s="746">
        <v>4</v>
      </c>
      <c r="G6" s="746">
        <v>5</v>
      </c>
      <c r="H6" s="747">
        <v>6</v>
      </c>
    </row>
    <row r="7" spans="1:8" ht="30" customHeight="1">
      <c r="A7" s="364"/>
      <c r="B7" s="350" t="s">
        <v>159</v>
      </c>
      <c r="C7" s="351" t="s">
        <v>160</v>
      </c>
      <c r="D7" s="352" t="s">
        <v>161</v>
      </c>
      <c r="E7" s="340" t="s">
        <v>162</v>
      </c>
      <c r="F7" s="143">
        <f>F8+F36+F38+F40</f>
        <v>5859035.7020000005</v>
      </c>
      <c r="G7" s="143">
        <f>G8+G36+G38+G40</f>
        <v>6731052.6</v>
      </c>
      <c r="H7" s="748">
        <f>H8+H36+H38+H40</f>
        <v>6761175.905</v>
      </c>
    </row>
    <row r="8" spans="1:8" ht="34.5" customHeight="1">
      <c r="A8" s="331">
        <v>1</v>
      </c>
      <c r="B8" s="353"/>
      <c r="C8" s="144"/>
      <c r="D8" s="354"/>
      <c r="E8" s="341" t="s">
        <v>180</v>
      </c>
      <c r="F8" s="145">
        <f>F9+F15+F29+F33</f>
        <v>5630920.402000001</v>
      </c>
      <c r="G8" s="145">
        <f>G9+G15+G29+G33</f>
        <v>6473535.6</v>
      </c>
      <c r="H8" s="749">
        <f>H9+H15+H29+H33</f>
        <v>6523658.905</v>
      </c>
    </row>
    <row r="9" spans="1:8" s="148" customFormat="1" ht="33">
      <c r="A9" s="332" t="s">
        <v>375</v>
      </c>
      <c r="B9" s="355"/>
      <c r="C9" s="146"/>
      <c r="D9" s="356"/>
      <c r="E9" s="341" t="s">
        <v>181</v>
      </c>
      <c r="F9" s="147">
        <f>F10+F13</f>
        <v>2133105.2</v>
      </c>
      <c r="G9" s="147">
        <f>G10+G13+G14</f>
        <v>1982740.33</v>
      </c>
      <c r="H9" s="524">
        <f>H10+H13+H14</f>
        <v>1425709.1</v>
      </c>
    </row>
    <row r="10" spans="1:8" ht="65.25" customHeight="1">
      <c r="A10" s="862" t="s">
        <v>376</v>
      </c>
      <c r="B10" s="868" t="s">
        <v>164</v>
      </c>
      <c r="C10" s="849" t="s">
        <v>355</v>
      </c>
      <c r="D10" s="852" t="s">
        <v>165</v>
      </c>
      <c r="E10" s="328" t="s">
        <v>357</v>
      </c>
      <c r="F10" s="151">
        <v>1691835.2</v>
      </c>
      <c r="G10" s="151">
        <v>1113467.33</v>
      </c>
      <c r="H10" s="750">
        <v>676436.1</v>
      </c>
    </row>
    <row r="11" spans="1:8" ht="16.5" hidden="1">
      <c r="A11" s="863"/>
      <c r="B11" s="848"/>
      <c r="C11" s="850"/>
      <c r="D11" s="853"/>
      <c r="E11" s="751" t="s">
        <v>105</v>
      </c>
      <c r="F11" s="752">
        <v>288680.7</v>
      </c>
      <c r="G11" s="752">
        <v>45351.4</v>
      </c>
      <c r="H11" s="753">
        <v>45351.4</v>
      </c>
    </row>
    <row r="12" spans="1:8" ht="16.5" hidden="1">
      <c r="A12" s="847"/>
      <c r="B12" s="869"/>
      <c r="C12" s="851"/>
      <c r="D12" s="854"/>
      <c r="E12" s="342" t="s">
        <v>134</v>
      </c>
      <c r="F12" s="546">
        <v>1403154.5</v>
      </c>
      <c r="G12" s="546">
        <v>1068115.93</v>
      </c>
      <c r="H12" s="754">
        <v>631084.7</v>
      </c>
    </row>
    <row r="13" spans="1:8" ht="52.5" customHeight="1">
      <c r="A13" s="329" t="s">
        <v>377</v>
      </c>
      <c r="B13" s="300" t="s">
        <v>164</v>
      </c>
      <c r="C13" s="149" t="s">
        <v>408</v>
      </c>
      <c r="D13" s="301" t="s">
        <v>165</v>
      </c>
      <c r="E13" s="755" t="s">
        <v>363</v>
      </c>
      <c r="F13" s="756">
        <v>441270</v>
      </c>
      <c r="G13" s="756">
        <v>189273</v>
      </c>
      <c r="H13" s="757">
        <v>189273</v>
      </c>
    </row>
    <row r="14" spans="1:8" ht="47.25">
      <c r="A14" s="333" t="s">
        <v>184</v>
      </c>
      <c r="B14" s="300" t="s">
        <v>164</v>
      </c>
      <c r="C14" s="149" t="s">
        <v>185</v>
      </c>
      <c r="D14" s="301" t="s">
        <v>165</v>
      </c>
      <c r="E14" s="758" t="s">
        <v>186</v>
      </c>
      <c r="F14" s="151"/>
      <c r="G14" s="151">
        <v>680000</v>
      </c>
      <c r="H14" s="525">
        <v>560000</v>
      </c>
    </row>
    <row r="15" spans="1:8" ht="40.5" customHeight="1">
      <c r="A15" s="334" t="s">
        <v>378</v>
      </c>
      <c r="B15" s="357"/>
      <c r="C15" s="153"/>
      <c r="D15" s="358"/>
      <c r="E15" s="343" t="s">
        <v>166</v>
      </c>
      <c r="F15" s="147">
        <v>2032314.602</v>
      </c>
      <c r="G15" s="147">
        <v>2520261.6</v>
      </c>
      <c r="H15" s="147">
        <v>2547774.4050000003</v>
      </c>
    </row>
    <row r="16" spans="1:8" ht="66">
      <c r="A16" s="872" t="s">
        <v>379</v>
      </c>
      <c r="B16" s="868" t="s">
        <v>164</v>
      </c>
      <c r="C16" s="849" t="s">
        <v>355</v>
      </c>
      <c r="D16" s="852" t="s">
        <v>187</v>
      </c>
      <c r="E16" s="344" t="s">
        <v>358</v>
      </c>
      <c r="F16" s="150">
        <v>694533.2</v>
      </c>
      <c r="G16" s="150">
        <v>915809.6</v>
      </c>
      <c r="H16" s="761">
        <v>1054988.405</v>
      </c>
    </row>
    <row r="17" spans="1:8" ht="16.5" hidden="1">
      <c r="A17" s="873"/>
      <c r="B17" s="848"/>
      <c r="C17" s="850"/>
      <c r="D17" s="853"/>
      <c r="E17" s="345" t="s">
        <v>105</v>
      </c>
      <c r="F17" s="546">
        <v>148121.2</v>
      </c>
      <c r="G17" s="546">
        <v>180000</v>
      </c>
      <c r="H17" s="754">
        <v>180000</v>
      </c>
    </row>
    <row r="18" spans="1:8" ht="16.5" hidden="1">
      <c r="A18" s="873"/>
      <c r="B18" s="848"/>
      <c r="C18" s="850"/>
      <c r="D18" s="853"/>
      <c r="E18" s="345" t="s">
        <v>134</v>
      </c>
      <c r="F18" s="759">
        <v>546412</v>
      </c>
      <c r="G18" s="546">
        <v>735809.6</v>
      </c>
      <c r="H18" s="754">
        <v>874988.405</v>
      </c>
    </row>
    <row r="19" spans="1:8" ht="16.5" hidden="1">
      <c r="A19" s="864"/>
      <c r="B19" s="869"/>
      <c r="C19" s="851"/>
      <c r="D19" s="854"/>
      <c r="E19" s="327" t="s">
        <v>167</v>
      </c>
      <c r="F19" s="152"/>
      <c r="G19" s="152"/>
      <c r="H19" s="760"/>
    </row>
    <row r="20" spans="1:8" ht="66">
      <c r="A20" s="872" t="s">
        <v>380</v>
      </c>
      <c r="B20" s="868" t="s">
        <v>164</v>
      </c>
      <c r="C20" s="849" t="s">
        <v>355</v>
      </c>
      <c r="D20" s="852" t="s">
        <v>187</v>
      </c>
      <c r="E20" s="326" t="s">
        <v>364</v>
      </c>
      <c r="F20" s="150">
        <v>591480.102</v>
      </c>
      <c r="G20" s="150">
        <v>875346.2</v>
      </c>
      <c r="H20" s="761">
        <v>671489.8</v>
      </c>
    </row>
    <row r="21" spans="1:8" ht="16.5" hidden="1">
      <c r="A21" s="864"/>
      <c r="B21" s="869"/>
      <c r="C21" s="851"/>
      <c r="D21" s="854"/>
      <c r="E21" s="327" t="s">
        <v>167</v>
      </c>
      <c r="F21" s="152"/>
      <c r="G21" s="152"/>
      <c r="H21" s="760"/>
    </row>
    <row r="22" spans="1:8" ht="49.5">
      <c r="A22" s="335" t="s">
        <v>374</v>
      </c>
      <c r="B22" s="357" t="s">
        <v>164</v>
      </c>
      <c r="C22" s="153" t="s">
        <v>381</v>
      </c>
      <c r="D22" s="358" t="s">
        <v>187</v>
      </c>
      <c r="E22" s="346" t="s">
        <v>373</v>
      </c>
      <c r="F22" s="151">
        <v>30000</v>
      </c>
      <c r="G22" s="151"/>
      <c r="H22" s="750">
        <v>150000</v>
      </c>
    </row>
    <row r="23" spans="1:8" ht="66">
      <c r="A23" s="872" t="s">
        <v>382</v>
      </c>
      <c r="B23" s="868" t="s">
        <v>164</v>
      </c>
      <c r="C23" s="849" t="s">
        <v>429</v>
      </c>
      <c r="D23" s="852" t="s">
        <v>187</v>
      </c>
      <c r="E23" s="326" t="s">
        <v>193</v>
      </c>
      <c r="F23" s="150">
        <v>166915.8</v>
      </c>
      <c r="G23" s="150">
        <v>180000</v>
      </c>
      <c r="H23" s="761">
        <v>120641.8</v>
      </c>
    </row>
    <row r="24" spans="1:8" ht="15.75" customHeight="1" hidden="1">
      <c r="A24" s="864"/>
      <c r="B24" s="869"/>
      <c r="C24" s="851"/>
      <c r="D24" s="854"/>
      <c r="E24" s="327" t="s">
        <v>167</v>
      </c>
      <c r="F24" s="152"/>
      <c r="G24" s="152"/>
      <c r="H24" s="760"/>
    </row>
    <row r="25" spans="1:8" ht="77.25" customHeight="1">
      <c r="A25" s="336" t="s">
        <v>383</v>
      </c>
      <c r="B25" s="300" t="s">
        <v>164</v>
      </c>
      <c r="C25" s="762" t="s">
        <v>355</v>
      </c>
      <c r="D25" s="301" t="s">
        <v>187</v>
      </c>
      <c r="E25" s="326" t="s">
        <v>359</v>
      </c>
      <c r="F25" s="151">
        <v>19400</v>
      </c>
      <c r="G25" s="151">
        <v>25000</v>
      </c>
      <c r="H25" s="750">
        <v>24000</v>
      </c>
    </row>
    <row r="26" spans="1:8" ht="53.25" customHeight="1">
      <c r="A26" s="336" t="s">
        <v>384</v>
      </c>
      <c r="B26" s="300" t="s">
        <v>164</v>
      </c>
      <c r="C26" s="370" t="s">
        <v>355</v>
      </c>
      <c r="D26" s="301" t="s">
        <v>187</v>
      </c>
      <c r="E26" s="326" t="s">
        <v>365</v>
      </c>
      <c r="F26" s="151">
        <v>24299.8</v>
      </c>
      <c r="G26" s="151">
        <v>25000</v>
      </c>
      <c r="H26" s="750">
        <v>23771</v>
      </c>
    </row>
    <row r="27" spans="1:8" ht="71.25" customHeight="1">
      <c r="A27" s="878" t="s">
        <v>385</v>
      </c>
      <c r="B27" s="868" t="s">
        <v>164</v>
      </c>
      <c r="C27" s="849" t="s">
        <v>355</v>
      </c>
      <c r="D27" s="852" t="s">
        <v>187</v>
      </c>
      <c r="E27" s="328" t="s">
        <v>360</v>
      </c>
      <c r="F27" s="151">
        <v>505685.7</v>
      </c>
      <c r="G27" s="151">
        <v>499105.8</v>
      </c>
      <c r="H27" s="750">
        <v>502883.4</v>
      </c>
    </row>
    <row r="28" spans="1:8" ht="24" customHeight="1" hidden="1">
      <c r="A28" s="879"/>
      <c r="B28" s="869"/>
      <c r="C28" s="851"/>
      <c r="D28" s="854"/>
      <c r="E28" s="763" t="s">
        <v>167</v>
      </c>
      <c r="F28" s="544"/>
      <c r="G28" s="544"/>
      <c r="H28" s="764"/>
    </row>
    <row r="29" spans="1:8" ht="34.5" customHeight="1">
      <c r="A29" s="334" t="s">
        <v>386</v>
      </c>
      <c r="B29" s="357"/>
      <c r="C29" s="153"/>
      <c r="D29" s="358"/>
      <c r="E29" s="347" t="s">
        <v>168</v>
      </c>
      <c r="F29" s="154">
        <v>1465500.6</v>
      </c>
      <c r="G29" s="154">
        <v>1970533.67</v>
      </c>
      <c r="H29" s="765">
        <v>2550175.4</v>
      </c>
    </row>
    <row r="30" spans="1:8" ht="66">
      <c r="A30" s="365" t="s">
        <v>387</v>
      </c>
      <c r="B30" s="357" t="s">
        <v>164</v>
      </c>
      <c r="C30" s="849" t="s">
        <v>355</v>
      </c>
      <c r="D30" s="358" t="s">
        <v>187</v>
      </c>
      <c r="E30" s="326" t="s">
        <v>361</v>
      </c>
      <c r="F30" s="150">
        <v>1464950.6</v>
      </c>
      <c r="G30" s="150">
        <v>1968383.67</v>
      </c>
      <c r="H30" s="761">
        <v>2549625.4</v>
      </c>
    </row>
    <row r="31" spans="1:8" ht="16.5" customHeight="1" hidden="1">
      <c r="A31" s="365"/>
      <c r="B31" s="766"/>
      <c r="C31" s="851"/>
      <c r="D31" s="358"/>
      <c r="E31" s="327" t="s">
        <v>167</v>
      </c>
      <c r="F31" s="152"/>
      <c r="G31" s="152"/>
      <c r="H31" s="760"/>
    </row>
    <row r="32" spans="1:8" ht="49.5">
      <c r="A32" s="365" t="s">
        <v>388</v>
      </c>
      <c r="B32" s="357" t="s">
        <v>164</v>
      </c>
      <c r="C32" s="849" t="s">
        <v>355</v>
      </c>
      <c r="D32" s="358" t="s">
        <v>187</v>
      </c>
      <c r="E32" s="328" t="s">
        <v>362</v>
      </c>
      <c r="F32" s="151">
        <v>550</v>
      </c>
      <c r="G32" s="151">
        <v>2150</v>
      </c>
      <c r="H32" s="750">
        <v>550</v>
      </c>
    </row>
    <row r="33" spans="1:8" s="5" customFormat="1" ht="35.25" customHeight="1" hidden="1">
      <c r="A33" s="337" t="s">
        <v>169</v>
      </c>
      <c r="B33" s="359"/>
      <c r="C33" s="851"/>
      <c r="D33" s="155"/>
      <c r="E33" s="767" t="s">
        <v>170</v>
      </c>
      <c r="F33" s="768">
        <v>0</v>
      </c>
      <c r="G33" s="768">
        <v>0</v>
      </c>
      <c r="H33" s="769">
        <v>0</v>
      </c>
    </row>
    <row r="34" spans="1:8" s="5" customFormat="1" ht="36.75" customHeight="1" hidden="1">
      <c r="A34" s="338" t="s">
        <v>171</v>
      </c>
      <c r="B34" s="360" t="s">
        <v>172</v>
      </c>
      <c r="C34" s="162" t="s">
        <v>173</v>
      </c>
      <c r="D34" s="156" t="s">
        <v>174</v>
      </c>
      <c r="E34" s="770" t="s">
        <v>175</v>
      </c>
      <c r="F34" s="771"/>
      <c r="G34" s="771"/>
      <c r="H34" s="772"/>
    </row>
    <row r="35" spans="1:8" s="5" customFormat="1" ht="64.5" customHeight="1" hidden="1">
      <c r="A35" s="338" t="s">
        <v>176</v>
      </c>
      <c r="B35" s="361" t="s">
        <v>172</v>
      </c>
      <c r="C35" s="163" t="s">
        <v>177</v>
      </c>
      <c r="D35" s="157" t="s">
        <v>174</v>
      </c>
      <c r="E35" s="348" t="s">
        <v>178</v>
      </c>
      <c r="F35" s="773"/>
      <c r="G35" s="773"/>
      <c r="H35" s="774"/>
    </row>
    <row r="36" spans="1:8" ht="66">
      <c r="A36" s="331">
        <v>2</v>
      </c>
      <c r="B36" s="876" t="s">
        <v>164</v>
      </c>
      <c r="C36" s="882" t="s">
        <v>355</v>
      </c>
      <c r="D36" s="884" t="s">
        <v>187</v>
      </c>
      <c r="E36" s="349" t="s">
        <v>366</v>
      </c>
      <c r="F36" s="158">
        <v>4190</v>
      </c>
      <c r="G36" s="158">
        <v>4190</v>
      </c>
      <c r="H36" s="775">
        <v>4190</v>
      </c>
    </row>
    <row r="37" spans="1:8" ht="18.75" customHeight="1" hidden="1">
      <c r="A37" s="331"/>
      <c r="B37" s="877"/>
      <c r="C37" s="883"/>
      <c r="D37" s="885"/>
      <c r="E37" s="327" t="s">
        <v>167</v>
      </c>
      <c r="F37" s="152"/>
      <c r="G37" s="152"/>
      <c r="H37" s="760"/>
    </row>
    <row r="38" spans="1:8" ht="86.25" customHeight="1">
      <c r="A38" s="874">
        <v>3</v>
      </c>
      <c r="B38" s="876" t="s">
        <v>164</v>
      </c>
      <c r="C38" s="882" t="s">
        <v>355</v>
      </c>
      <c r="D38" s="884" t="s">
        <v>187</v>
      </c>
      <c r="E38" s="349" t="s">
        <v>367</v>
      </c>
      <c r="F38" s="145">
        <v>110000</v>
      </c>
      <c r="G38" s="158">
        <v>145771.3</v>
      </c>
      <c r="H38" s="775">
        <v>130000</v>
      </c>
    </row>
    <row r="39" spans="1:8" ht="16.5" customHeight="1" hidden="1">
      <c r="A39" s="875"/>
      <c r="B39" s="877"/>
      <c r="C39" s="883"/>
      <c r="D39" s="885"/>
      <c r="E39" s="327" t="s">
        <v>167</v>
      </c>
      <c r="F39" s="544"/>
      <c r="G39" s="152"/>
      <c r="H39" s="760"/>
    </row>
    <row r="40" spans="1:8" ht="27" customHeight="1" thickBot="1">
      <c r="A40" s="339">
        <v>4</v>
      </c>
      <c r="B40" s="362" t="s">
        <v>164</v>
      </c>
      <c r="C40" s="161" t="s">
        <v>482</v>
      </c>
      <c r="D40" s="363" t="s">
        <v>187</v>
      </c>
      <c r="E40" s="776" t="s">
        <v>356</v>
      </c>
      <c r="F40" s="159">
        <v>113925.3</v>
      </c>
      <c r="G40" s="159">
        <v>107555.7</v>
      </c>
      <c r="H40" s="777">
        <v>103327</v>
      </c>
    </row>
    <row r="42" spans="1:8" ht="15">
      <c r="A42" s="994"/>
      <c r="B42" s="994"/>
      <c r="C42" s="994"/>
      <c r="D42" s="994"/>
      <c r="E42" s="994"/>
      <c r="F42" s="778"/>
      <c r="G42" s="778"/>
      <c r="H42" s="779"/>
    </row>
    <row r="43" spans="1:8" ht="15">
      <c r="A43" s="993"/>
      <c r="B43" s="993"/>
      <c r="C43" s="993"/>
      <c r="D43" s="993"/>
      <c r="E43" s="993"/>
      <c r="F43" s="780"/>
      <c r="G43" s="780"/>
      <c r="H43" s="781"/>
    </row>
    <row r="44" spans="1:8" ht="15">
      <c r="A44" s="994"/>
      <c r="B44" s="994"/>
      <c r="C44" s="994"/>
      <c r="D44" s="994"/>
      <c r="E44" s="995"/>
      <c r="F44" s="778"/>
      <c r="G44" s="778"/>
      <c r="H44" s="779"/>
    </row>
    <row r="45" spans="1:7" ht="12.75">
      <c r="A45" s="994"/>
      <c r="B45" s="994"/>
      <c r="C45" s="994"/>
      <c r="D45" s="994"/>
      <c r="E45" s="994"/>
      <c r="F45" s="5"/>
      <c r="G45" s="5"/>
    </row>
    <row r="46" spans="1:5" ht="12.75">
      <c r="A46" s="994"/>
      <c r="B46" s="994"/>
      <c r="C46" s="994"/>
      <c r="D46" s="994"/>
      <c r="E46" s="994"/>
    </row>
  </sheetData>
  <sheetProtection/>
  <mergeCells count="39">
    <mergeCell ref="F1:H1"/>
    <mergeCell ref="A38:A39"/>
    <mergeCell ref="B38:B39"/>
    <mergeCell ref="A27:A28"/>
    <mergeCell ref="B27:B28"/>
    <mergeCell ref="B36:B37"/>
    <mergeCell ref="A23:A24"/>
    <mergeCell ref="B23:B24"/>
    <mergeCell ref="A16:A19"/>
    <mergeCell ref="G4:G5"/>
    <mergeCell ref="A4:A5"/>
    <mergeCell ref="B4:D5"/>
    <mergeCell ref="A10:A12"/>
    <mergeCell ref="B10:B12"/>
    <mergeCell ref="C10:C12"/>
    <mergeCell ref="D10:D12"/>
    <mergeCell ref="B16:B19"/>
    <mergeCell ref="C16:C19"/>
    <mergeCell ref="C38:C39"/>
    <mergeCell ref="D38:D39"/>
    <mergeCell ref="C36:C37"/>
    <mergeCell ref="D36:D37"/>
    <mergeCell ref="C23:C24"/>
    <mergeCell ref="D23:D24"/>
    <mergeCell ref="C30:C31"/>
    <mergeCell ref="C32:C33"/>
    <mergeCell ref="F4:F5"/>
    <mergeCell ref="C27:C28"/>
    <mergeCell ref="D27:D28"/>
    <mergeCell ref="D16:D19"/>
    <mergeCell ref="A2:H2"/>
    <mergeCell ref="A43:E43"/>
    <mergeCell ref="B20:B21"/>
    <mergeCell ref="C20:C21"/>
    <mergeCell ref="D20:D21"/>
    <mergeCell ref="B6:D6"/>
    <mergeCell ref="A20:A21"/>
    <mergeCell ref="H4:H5"/>
    <mergeCell ref="E4:E5"/>
  </mergeCells>
  <printOptions/>
  <pageMargins left="0.75" right="0.89" top="0.7" bottom="0.78" header="0.5" footer="0.5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7"/>
  <sheetViews>
    <sheetView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23" sqref="Q23"/>
    </sheetView>
  </sheetViews>
  <sheetFormatPr defaultColWidth="12.25390625" defaultRowHeight="12.75"/>
  <cols>
    <col min="1" max="1" width="5.25390625" style="8" customWidth="1"/>
    <col min="2" max="2" width="22.375" style="8" customWidth="1"/>
    <col min="3" max="3" width="4.625" style="8" customWidth="1"/>
    <col min="4" max="4" width="5.125" style="8" customWidth="1"/>
    <col min="5" max="5" width="6.00390625" style="8" customWidth="1"/>
    <col min="6" max="6" width="11.125" style="8" customWidth="1"/>
    <col min="7" max="7" width="11.00390625" style="8" customWidth="1"/>
    <col min="8" max="8" width="11.625" style="8" customWidth="1"/>
    <col min="9" max="9" width="5.75390625" style="8" customWidth="1"/>
    <col min="10" max="10" width="10.25390625" style="8" customWidth="1"/>
    <col min="11" max="11" width="12.25390625" style="8" customWidth="1"/>
    <col min="12" max="12" width="5.25390625" style="8" customWidth="1"/>
    <col min="13" max="13" width="10.25390625" style="8" customWidth="1"/>
    <col min="14" max="14" width="11.125" style="8" customWidth="1"/>
    <col min="15" max="15" width="9.375" style="8" customWidth="1"/>
    <col min="16" max="16" width="7.875" style="8" customWidth="1"/>
    <col min="17" max="17" width="11.00390625" style="8" customWidth="1"/>
    <col min="18" max="18" width="9.75390625" style="8" customWidth="1"/>
    <col min="19" max="19" width="10.875" style="8" customWidth="1"/>
    <col min="20" max="20" width="11.875" style="8" customWidth="1"/>
    <col min="21" max="21" width="8.375" style="8" customWidth="1"/>
    <col min="22" max="22" width="12.25390625" style="8" hidden="1" customWidth="1"/>
    <col min="23" max="23" width="12.25390625" style="8" customWidth="1"/>
    <col min="24" max="16384" width="12.25390625" style="8" customWidth="1"/>
  </cols>
  <sheetData>
    <row r="1" spans="1:23" ht="18.75">
      <c r="A1" s="897" t="s">
        <v>41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</row>
    <row r="2" spans="1:23" ht="15.75">
      <c r="A2" s="898" t="s">
        <v>39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</row>
    <row r="3" spans="1:23" ht="15.75">
      <c r="A3" s="898" t="s">
        <v>40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</row>
    <row r="4" spans="1:2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s="16" customFormat="1" ht="12.75" customHeight="1">
      <c r="A5" s="11" t="s">
        <v>45</v>
      </c>
      <c r="B5" s="899" t="s">
        <v>46</v>
      </c>
      <c r="C5" s="911" t="s">
        <v>47</v>
      </c>
      <c r="D5" s="912"/>
      <c r="E5" s="912"/>
      <c r="F5" s="912"/>
      <c r="G5" s="912"/>
      <c r="H5" s="913"/>
      <c r="I5" s="902" t="s">
        <v>48</v>
      </c>
      <c r="J5" s="903"/>
      <c r="K5" s="903"/>
      <c r="L5" s="902" t="s">
        <v>49</v>
      </c>
      <c r="M5" s="903"/>
      <c r="N5" s="903"/>
      <c r="O5" s="911" t="s">
        <v>50</v>
      </c>
      <c r="P5" s="912"/>
      <c r="Q5" s="912"/>
      <c r="R5" s="913"/>
      <c r="S5" s="911" t="s">
        <v>51</v>
      </c>
      <c r="T5" s="912"/>
      <c r="U5" s="913"/>
      <c r="V5" s="899" t="s">
        <v>52</v>
      </c>
      <c r="W5" s="930" t="s">
        <v>42</v>
      </c>
    </row>
    <row r="6" spans="1:23" s="16" customFormat="1" ht="33.75" customHeight="1">
      <c r="A6" s="17" t="s">
        <v>53</v>
      </c>
      <c r="B6" s="900"/>
      <c r="C6" s="904" t="s">
        <v>54</v>
      </c>
      <c r="D6" s="905" t="s">
        <v>105</v>
      </c>
      <c r="E6" s="906"/>
      <c r="F6" s="909" t="s">
        <v>55</v>
      </c>
      <c r="G6" s="909" t="s">
        <v>56</v>
      </c>
      <c r="H6" s="909" t="s">
        <v>353</v>
      </c>
      <c r="I6" s="914" t="s">
        <v>106</v>
      </c>
      <c r="J6" s="909" t="s">
        <v>55</v>
      </c>
      <c r="K6" s="909" t="s">
        <v>56</v>
      </c>
      <c r="L6" s="914" t="s">
        <v>106</v>
      </c>
      <c r="M6" s="909" t="s">
        <v>55</v>
      </c>
      <c r="N6" s="909" t="s">
        <v>56</v>
      </c>
      <c r="O6" s="899" t="s">
        <v>57</v>
      </c>
      <c r="P6" s="933" t="s">
        <v>58</v>
      </c>
      <c r="Q6" s="937"/>
      <c r="R6" s="934"/>
      <c r="S6" s="899" t="s">
        <v>57</v>
      </c>
      <c r="T6" s="933" t="s">
        <v>58</v>
      </c>
      <c r="U6" s="934"/>
      <c r="V6" s="900"/>
      <c r="W6" s="931"/>
    </row>
    <row r="7" spans="1:23" s="16" customFormat="1" ht="21" customHeight="1">
      <c r="A7" s="17"/>
      <c r="B7" s="900"/>
      <c r="C7" s="904"/>
      <c r="D7" s="907"/>
      <c r="E7" s="908"/>
      <c r="F7" s="910"/>
      <c r="G7" s="910"/>
      <c r="H7" s="910"/>
      <c r="I7" s="914"/>
      <c r="J7" s="910"/>
      <c r="K7" s="910"/>
      <c r="L7" s="914"/>
      <c r="M7" s="910"/>
      <c r="N7" s="910"/>
      <c r="O7" s="900"/>
      <c r="P7" s="938" t="s">
        <v>59</v>
      </c>
      <c r="Q7" s="938"/>
      <c r="R7" s="4" t="s">
        <v>105</v>
      </c>
      <c r="S7" s="900"/>
      <c r="T7" s="4" t="s">
        <v>59</v>
      </c>
      <c r="U7" s="4" t="s">
        <v>105</v>
      </c>
      <c r="V7" s="900"/>
      <c r="W7" s="931"/>
    </row>
    <row r="8" spans="1:23" s="16" customFormat="1" ht="12.75">
      <c r="A8" s="12"/>
      <c r="B8" s="901"/>
      <c r="C8" s="904"/>
      <c r="D8" s="19" t="s">
        <v>60</v>
      </c>
      <c r="E8" s="7" t="s">
        <v>107</v>
      </c>
      <c r="F8" s="20" t="s">
        <v>61</v>
      </c>
      <c r="G8" s="20" t="s">
        <v>61</v>
      </c>
      <c r="H8" s="20" t="s">
        <v>61</v>
      </c>
      <c r="I8" s="914"/>
      <c r="J8" s="20" t="s">
        <v>61</v>
      </c>
      <c r="K8" s="20" t="s">
        <v>61</v>
      </c>
      <c r="L8" s="914"/>
      <c r="M8" s="20" t="s">
        <v>61</v>
      </c>
      <c r="N8" s="18" t="s">
        <v>61</v>
      </c>
      <c r="O8" s="901"/>
      <c r="P8" s="4" t="s">
        <v>62</v>
      </c>
      <c r="Q8" s="4" t="s">
        <v>61</v>
      </c>
      <c r="R8" s="22" t="s">
        <v>61</v>
      </c>
      <c r="S8" s="901"/>
      <c r="T8" s="21" t="s">
        <v>61</v>
      </c>
      <c r="U8" s="22" t="s">
        <v>61</v>
      </c>
      <c r="V8" s="901"/>
      <c r="W8" s="932"/>
    </row>
    <row r="9" spans="1:23" s="34" customFormat="1" ht="12.75">
      <c r="A9" s="23">
        <v>1</v>
      </c>
      <c r="B9" s="24" t="s">
        <v>63</v>
      </c>
      <c r="C9" s="25"/>
      <c r="D9" s="26"/>
      <c r="E9" s="27"/>
      <c r="F9" s="27"/>
      <c r="G9" s="27"/>
      <c r="H9" s="297"/>
      <c r="I9" s="68">
        <v>2.31</v>
      </c>
      <c r="J9" s="27"/>
      <c r="K9" s="27">
        <v>21673.3</v>
      </c>
      <c r="L9" s="29">
        <v>6.868</v>
      </c>
      <c r="M9" s="27">
        <v>31114.2</v>
      </c>
      <c r="N9" s="28">
        <v>2000</v>
      </c>
      <c r="O9" s="254">
        <v>9299.8</v>
      </c>
      <c r="P9" s="72">
        <v>14.949544191488325</v>
      </c>
      <c r="Q9" s="43">
        <v>9199.8</v>
      </c>
      <c r="R9" s="70">
        <v>100</v>
      </c>
      <c r="S9" s="69">
        <v>30624.1</v>
      </c>
      <c r="T9" s="72">
        <v>30496.9</v>
      </c>
      <c r="U9" s="320">
        <v>127.2</v>
      </c>
      <c r="V9" s="32"/>
      <c r="W9" s="33">
        <f aca="true" t="shared" si="0" ref="W9:W38">F9+G9+J9+K9+M9+N9+O9+S9+V9+H9</f>
        <v>94711.4</v>
      </c>
    </row>
    <row r="10" spans="1:23" s="34" customFormat="1" ht="12.75">
      <c r="A10" s="35">
        <v>2</v>
      </c>
      <c r="B10" s="36" t="s">
        <v>64</v>
      </c>
      <c r="C10" s="25">
        <v>3.2</v>
      </c>
      <c r="D10" s="37"/>
      <c r="E10" s="27"/>
      <c r="F10" s="27"/>
      <c r="G10" s="27">
        <v>9600</v>
      </c>
      <c r="H10" s="30">
        <v>32000</v>
      </c>
      <c r="I10" s="25">
        <v>3.7</v>
      </c>
      <c r="J10" s="27">
        <v>30000</v>
      </c>
      <c r="K10" s="27">
        <v>19614.64</v>
      </c>
      <c r="L10" s="29"/>
      <c r="M10" s="27"/>
      <c r="N10" s="28"/>
      <c r="O10" s="73">
        <v>10893.3</v>
      </c>
      <c r="P10" s="43">
        <v>17.051463299696128</v>
      </c>
      <c r="Q10" s="43">
        <v>10493.3</v>
      </c>
      <c r="R10" s="74">
        <v>400</v>
      </c>
      <c r="S10" s="71">
        <v>37114.1</v>
      </c>
      <c r="T10" s="43">
        <v>36857.4</v>
      </c>
      <c r="U10" s="320">
        <v>256.7</v>
      </c>
      <c r="V10" s="32"/>
      <c r="W10" s="33">
        <f t="shared" si="0"/>
        <v>139222.04</v>
      </c>
    </row>
    <row r="11" spans="1:23" s="34" customFormat="1" ht="12.75">
      <c r="A11" s="35">
        <v>3</v>
      </c>
      <c r="B11" s="38" t="s">
        <v>65</v>
      </c>
      <c r="C11" s="25">
        <v>0.603</v>
      </c>
      <c r="D11" s="37"/>
      <c r="E11" s="27"/>
      <c r="F11" s="27"/>
      <c r="G11" s="27">
        <v>1210</v>
      </c>
      <c r="H11" s="30">
        <v>6030</v>
      </c>
      <c r="I11" s="25">
        <v>1.91</v>
      </c>
      <c r="J11" s="27"/>
      <c r="K11" s="27">
        <v>14345.3</v>
      </c>
      <c r="L11" s="29">
        <v>4</v>
      </c>
      <c r="M11" s="27">
        <v>25000</v>
      </c>
      <c r="N11" s="28">
        <v>0</v>
      </c>
      <c r="O11" s="73">
        <v>15286.3</v>
      </c>
      <c r="P11" s="43">
        <v>26</v>
      </c>
      <c r="Q11" s="43">
        <v>12223.8</v>
      </c>
      <c r="R11" s="74">
        <v>3062.5</v>
      </c>
      <c r="S11" s="71">
        <v>25284.6</v>
      </c>
      <c r="T11" s="43">
        <v>23911.1</v>
      </c>
      <c r="U11" s="320">
        <v>1373.5</v>
      </c>
      <c r="V11" s="32"/>
      <c r="W11" s="33">
        <f t="shared" si="0"/>
        <v>87156.20000000001</v>
      </c>
    </row>
    <row r="12" spans="1:23" s="34" customFormat="1" ht="12.75">
      <c r="A12" s="35">
        <v>4</v>
      </c>
      <c r="B12" s="36" t="s">
        <v>66</v>
      </c>
      <c r="C12" s="25">
        <v>1.038</v>
      </c>
      <c r="D12" s="37">
        <v>1</v>
      </c>
      <c r="E12" s="27" t="s">
        <v>147</v>
      </c>
      <c r="F12" s="27">
        <v>109090.4</v>
      </c>
      <c r="G12" s="27"/>
      <c r="H12" s="30"/>
      <c r="I12" s="25">
        <v>1</v>
      </c>
      <c r="J12" s="27"/>
      <c r="K12" s="27">
        <v>14661.7</v>
      </c>
      <c r="L12" s="29">
        <v>9</v>
      </c>
      <c r="M12" s="27">
        <v>9000</v>
      </c>
      <c r="N12" s="28">
        <v>0</v>
      </c>
      <c r="O12" s="73">
        <v>12451.7</v>
      </c>
      <c r="P12" s="43">
        <v>15.35887810981654</v>
      </c>
      <c r="Q12" s="43">
        <v>9451.7</v>
      </c>
      <c r="R12" s="74">
        <v>3000</v>
      </c>
      <c r="S12" s="71">
        <v>33434.1</v>
      </c>
      <c r="T12" s="43">
        <v>30891.8</v>
      </c>
      <c r="U12" s="320">
        <v>2542.3</v>
      </c>
      <c r="V12" s="32"/>
      <c r="W12" s="33">
        <f t="shared" si="0"/>
        <v>178637.9</v>
      </c>
    </row>
    <row r="13" spans="1:23" s="34" customFormat="1" ht="12.75">
      <c r="A13" s="35">
        <v>5</v>
      </c>
      <c r="B13" s="36" t="s">
        <v>67</v>
      </c>
      <c r="C13" s="25"/>
      <c r="D13" s="37"/>
      <c r="E13" s="27"/>
      <c r="F13" s="27"/>
      <c r="G13" s="27"/>
      <c r="H13" s="30"/>
      <c r="I13" s="25"/>
      <c r="J13" s="27"/>
      <c r="K13" s="27"/>
      <c r="L13" s="29">
        <v>4.327</v>
      </c>
      <c r="M13" s="27">
        <v>34135.3</v>
      </c>
      <c r="N13" s="28">
        <v>5515.4</v>
      </c>
      <c r="O13" s="73">
        <v>9298.5</v>
      </c>
      <c r="P13" s="43">
        <v>14.891694697671396</v>
      </c>
      <c r="Q13" s="43">
        <v>9164.2</v>
      </c>
      <c r="R13" s="74">
        <v>134.3</v>
      </c>
      <c r="S13" s="71">
        <v>30657</v>
      </c>
      <c r="T13" s="43">
        <v>30401.3</v>
      </c>
      <c r="U13" s="320">
        <v>255.7</v>
      </c>
      <c r="V13" s="32"/>
      <c r="W13" s="33">
        <f t="shared" si="0"/>
        <v>79606.20000000001</v>
      </c>
    </row>
    <row r="14" spans="1:23" s="34" customFormat="1" ht="12.75">
      <c r="A14" s="35">
        <v>6</v>
      </c>
      <c r="B14" s="36" t="s">
        <v>68</v>
      </c>
      <c r="C14" s="25"/>
      <c r="D14" s="37"/>
      <c r="E14" s="27"/>
      <c r="F14" s="27"/>
      <c r="G14" s="27"/>
      <c r="H14" s="30"/>
      <c r="I14" s="25">
        <v>4.4</v>
      </c>
      <c r="J14" s="27">
        <v>31137.6</v>
      </c>
      <c r="K14" s="27">
        <v>23398</v>
      </c>
      <c r="L14" s="29"/>
      <c r="M14" s="27"/>
      <c r="N14" s="28"/>
      <c r="O14" s="73">
        <v>12614.1</v>
      </c>
      <c r="P14" s="43">
        <v>17.589008596174782</v>
      </c>
      <c r="Q14" s="43">
        <v>10824.1</v>
      </c>
      <c r="R14" s="74">
        <v>1790</v>
      </c>
      <c r="S14" s="71">
        <v>37246.4</v>
      </c>
      <c r="T14" s="43">
        <v>35907.5</v>
      </c>
      <c r="U14" s="320">
        <v>1338.9</v>
      </c>
      <c r="V14" s="32"/>
      <c r="W14" s="33">
        <f t="shared" si="0"/>
        <v>104396.1</v>
      </c>
    </row>
    <row r="15" spans="1:23" s="34" customFormat="1" ht="12.75">
      <c r="A15" s="35">
        <v>7</v>
      </c>
      <c r="B15" s="36" t="s">
        <v>69</v>
      </c>
      <c r="C15" s="25"/>
      <c r="D15" s="37">
        <v>1</v>
      </c>
      <c r="E15" s="518" t="s">
        <v>19</v>
      </c>
      <c r="F15" s="43"/>
      <c r="G15" s="27">
        <v>50000</v>
      </c>
      <c r="H15" s="30"/>
      <c r="I15" s="25"/>
      <c r="J15" s="27"/>
      <c r="K15" s="27">
        <v>34428.8</v>
      </c>
      <c r="L15" s="29">
        <v>0</v>
      </c>
      <c r="M15" s="27">
        <v>0</v>
      </c>
      <c r="N15" s="28">
        <v>13914.5</v>
      </c>
      <c r="O15" s="73">
        <v>22395.5</v>
      </c>
      <c r="P15" s="43">
        <v>21.913745754724644</v>
      </c>
      <c r="Q15" s="43">
        <v>13485.5</v>
      </c>
      <c r="R15" s="74">
        <v>8910</v>
      </c>
      <c r="S15" s="71">
        <v>51494.6</v>
      </c>
      <c r="T15" s="43">
        <v>48620.1</v>
      </c>
      <c r="U15" s="320">
        <v>2874.5</v>
      </c>
      <c r="V15" s="32"/>
      <c r="W15" s="33">
        <f t="shared" si="0"/>
        <v>172233.4</v>
      </c>
    </row>
    <row r="16" spans="1:23" s="34" customFormat="1" ht="12.75">
      <c r="A16" s="35">
        <v>8</v>
      </c>
      <c r="B16" s="36" t="s">
        <v>70</v>
      </c>
      <c r="C16" s="25"/>
      <c r="D16" s="37"/>
      <c r="E16" s="43"/>
      <c r="F16" s="43"/>
      <c r="G16" s="27"/>
      <c r="H16" s="30"/>
      <c r="I16" s="25">
        <v>2.34</v>
      </c>
      <c r="J16" s="27">
        <v>29738.9</v>
      </c>
      <c r="K16" s="27">
        <v>9354.2</v>
      </c>
      <c r="L16" s="29">
        <v>9</v>
      </c>
      <c r="M16" s="27">
        <v>13000</v>
      </c>
      <c r="N16" s="27">
        <v>0</v>
      </c>
      <c r="O16" s="73">
        <v>16601.7</v>
      </c>
      <c r="P16" s="43">
        <v>22.915061993207562</v>
      </c>
      <c r="Q16" s="43">
        <v>14101.7</v>
      </c>
      <c r="R16" s="74">
        <v>2500</v>
      </c>
      <c r="S16" s="71">
        <v>64287.3</v>
      </c>
      <c r="T16" s="43">
        <v>61888.8</v>
      </c>
      <c r="U16" s="320">
        <v>2398.5</v>
      </c>
      <c r="V16" s="32"/>
      <c r="W16" s="33">
        <f t="shared" si="0"/>
        <v>132982.1</v>
      </c>
    </row>
    <row r="17" spans="1:23" s="34" customFormat="1" ht="12.75">
      <c r="A17" s="35">
        <v>9</v>
      </c>
      <c r="B17" s="36" t="s">
        <v>71</v>
      </c>
      <c r="C17" s="25">
        <v>1.836</v>
      </c>
      <c r="D17" s="37"/>
      <c r="E17" s="27"/>
      <c r="F17" s="27"/>
      <c r="G17" s="27">
        <v>11574.5</v>
      </c>
      <c r="H17" s="30">
        <v>18000</v>
      </c>
      <c r="I17" s="25"/>
      <c r="J17" s="27"/>
      <c r="K17" s="27"/>
      <c r="L17" s="29">
        <v>2.7</v>
      </c>
      <c r="M17" s="27">
        <v>53419.6</v>
      </c>
      <c r="N17" s="27">
        <v>0</v>
      </c>
      <c r="O17" s="73">
        <v>13725.2</v>
      </c>
      <c r="P17" s="43">
        <v>14.178325939648028</v>
      </c>
      <c r="Q17" s="43">
        <v>8725.2</v>
      </c>
      <c r="R17" s="74">
        <v>5000</v>
      </c>
      <c r="S17" s="71">
        <v>30564</v>
      </c>
      <c r="T17" s="43">
        <v>28944.6</v>
      </c>
      <c r="U17" s="320">
        <v>1619.4</v>
      </c>
      <c r="V17" s="32"/>
      <c r="W17" s="33">
        <f t="shared" si="0"/>
        <v>127283.3</v>
      </c>
    </row>
    <row r="18" spans="1:23" s="34" customFormat="1" ht="12.75">
      <c r="A18" s="35">
        <v>10</v>
      </c>
      <c r="B18" s="36" t="s">
        <v>72</v>
      </c>
      <c r="C18" s="25">
        <v>0</v>
      </c>
      <c r="D18" s="37"/>
      <c r="E18" s="27"/>
      <c r="F18" s="27"/>
      <c r="G18" s="27">
        <v>0</v>
      </c>
      <c r="H18" s="30">
        <v>40000</v>
      </c>
      <c r="I18" s="25">
        <v>3.675</v>
      </c>
      <c r="J18" s="27">
        <v>29995.8</v>
      </c>
      <c r="K18" s="27">
        <v>16379.3</v>
      </c>
      <c r="L18" s="29">
        <v>8</v>
      </c>
      <c r="M18" s="27">
        <v>8000</v>
      </c>
      <c r="N18" s="27">
        <v>0</v>
      </c>
      <c r="O18" s="73">
        <v>20152.9</v>
      </c>
      <c r="P18" s="43">
        <v>19.748289702465105</v>
      </c>
      <c r="Q18" s="43">
        <v>12152.9</v>
      </c>
      <c r="R18" s="74">
        <v>8000</v>
      </c>
      <c r="S18" s="71">
        <v>65813.5</v>
      </c>
      <c r="T18" s="43">
        <v>61025.5</v>
      </c>
      <c r="U18" s="320">
        <v>4788</v>
      </c>
      <c r="V18" s="32"/>
      <c r="W18" s="33">
        <f t="shared" si="0"/>
        <v>180341.5</v>
      </c>
    </row>
    <row r="19" spans="1:23" s="34" customFormat="1" ht="12.75">
      <c r="A19" s="35">
        <v>11</v>
      </c>
      <c r="B19" s="36" t="s">
        <v>73</v>
      </c>
      <c r="C19" s="25"/>
      <c r="D19" s="37"/>
      <c r="E19" s="27"/>
      <c r="F19" s="27"/>
      <c r="G19" s="27"/>
      <c r="H19" s="30"/>
      <c r="I19" s="25">
        <v>0</v>
      </c>
      <c r="J19" s="27"/>
      <c r="K19" s="27">
        <v>0</v>
      </c>
      <c r="L19" s="29">
        <v>2.3</v>
      </c>
      <c r="M19" s="27">
        <v>0</v>
      </c>
      <c r="N19" s="28">
        <v>15821.2</v>
      </c>
      <c r="O19" s="73">
        <v>18812.6</v>
      </c>
      <c r="P19" s="43">
        <v>33</v>
      </c>
      <c r="Q19" s="43">
        <v>17012.6</v>
      </c>
      <c r="R19" s="74">
        <v>1800</v>
      </c>
      <c r="S19" s="71">
        <v>26955.9</v>
      </c>
      <c r="T19" s="43">
        <v>25320.5</v>
      </c>
      <c r="U19" s="320">
        <v>1635.4</v>
      </c>
      <c r="V19" s="32"/>
      <c r="W19" s="33">
        <f t="shared" si="0"/>
        <v>61589.700000000004</v>
      </c>
    </row>
    <row r="20" spans="1:23" s="34" customFormat="1" ht="12.75">
      <c r="A20" s="35">
        <v>12</v>
      </c>
      <c r="B20" s="36" t="s">
        <v>74</v>
      </c>
      <c r="C20" s="25">
        <v>4</v>
      </c>
      <c r="D20" s="37"/>
      <c r="E20" s="27"/>
      <c r="F20" s="27"/>
      <c r="G20" s="27">
        <v>4000</v>
      </c>
      <c r="H20" s="30">
        <v>40000</v>
      </c>
      <c r="I20" s="25"/>
      <c r="J20" s="27"/>
      <c r="K20" s="27"/>
      <c r="L20" s="29">
        <v>5.14</v>
      </c>
      <c r="M20" s="27">
        <v>12820.7</v>
      </c>
      <c r="N20" s="28">
        <v>7757</v>
      </c>
      <c r="O20" s="73">
        <v>10228.8</v>
      </c>
      <c r="P20" s="43">
        <v>13.37168299777377</v>
      </c>
      <c r="Q20" s="43">
        <v>8228.8</v>
      </c>
      <c r="R20" s="74">
        <v>2000</v>
      </c>
      <c r="S20" s="71">
        <v>41348.8</v>
      </c>
      <c r="T20" s="43">
        <v>40076</v>
      </c>
      <c r="U20" s="320">
        <v>1272.8</v>
      </c>
      <c r="V20" s="32"/>
      <c r="W20" s="33">
        <f t="shared" si="0"/>
        <v>116155.3</v>
      </c>
    </row>
    <row r="21" spans="1:23" s="34" customFormat="1" ht="12.75">
      <c r="A21" s="35">
        <v>13</v>
      </c>
      <c r="B21" s="36" t="s">
        <v>75</v>
      </c>
      <c r="C21" s="25">
        <v>2.954</v>
      </c>
      <c r="D21" s="37"/>
      <c r="E21" s="27"/>
      <c r="F21" s="27"/>
      <c r="G21" s="27">
        <v>8460</v>
      </c>
      <c r="H21" s="30">
        <v>29540</v>
      </c>
      <c r="I21" s="25"/>
      <c r="J21" s="27"/>
      <c r="K21" s="27"/>
      <c r="L21" s="29">
        <v>2.765</v>
      </c>
      <c r="M21" s="27">
        <v>12579.4</v>
      </c>
      <c r="N21" s="28">
        <v>6436.402000000001</v>
      </c>
      <c r="O21" s="73">
        <v>14611.7</v>
      </c>
      <c r="P21" s="43">
        <v>19.392905312078522</v>
      </c>
      <c r="Q21" s="43">
        <v>11934.2</v>
      </c>
      <c r="R21" s="74">
        <v>2677.5</v>
      </c>
      <c r="S21" s="71">
        <v>53486.6</v>
      </c>
      <c r="T21" s="43">
        <v>52767.6</v>
      </c>
      <c r="U21" s="320">
        <v>719</v>
      </c>
      <c r="V21" s="32"/>
      <c r="W21" s="33">
        <f t="shared" si="0"/>
        <v>125114.10200000001</v>
      </c>
    </row>
    <row r="22" spans="1:23" s="34" customFormat="1" ht="12.75">
      <c r="A22" s="35">
        <v>14</v>
      </c>
      <c r="B22" s="36" t="s">
        <v>76</v>
      </c>
      <c r="C22" s="25"/>
      <c r="D22" s="37"/>
      <c r="E22" s="27"/>
      <c r="F22" s="27"/>
      <c r="G22" s="27"/>
      <c r="H22" s="30"/>
      <c r="I22" s="25">
        <v>0.5</v>
      </c>
      <c r="J22" s="27">
        <v>3000</v>
      </c>
      <c r="K22" s="27">
        <v>16275.7</v>
      </c>
      <c r="L22" s="29">
        <v>7.5</v>
      </c>
      <c r="M22" s="27">
        <v>7500</v>
      </c>
      <c r="N22" s="28">
        <v>0</v>
      </c>
      <c r="O22" s="73">
        <v>20665.1</v>
      </c>
      <c r="P22" s="43">
        <v>23.018086091746696</v>
      </c>
      <c r="Q22" s="43">
        <v>14165.1</v>
      </c>
      <c r="R22" s="74">
        <v>6500</v>
      </c>
      <c r="S22" s="71">
        <v>58020.9</v>
      </c>
      <c r="T22" s="43">
        <v>56068.3</v>
      </c>
      <c r="U22" s="320">
        <v>1952.6</v>
      </c>
      <c r="V22" s="32"/>
      <c r="W22" s="33">
        <f t="shared" si="0"/>
        <v>105461.70000000001</v>
      </c>
    </row>
    <row r="23" spans="1:23" s="34" customFormat="1" ht="12.75">
      <c r="A23" s="35">
        <v>15</v>
      </c>
      <c r="B23" s="36" t="s">
        <v>77</v>
      </c>
      <c r="C23" s="25">
        <v>0.7</v>
      </c>
      <c r="D23" s="37"/>
      <c r="E23" s="27"/>
      <c r="F23" s="27"/>
      <c r="G23" s="27">
        <v>2100</v>
      </c>
      <c r="H23" s="30">
        <v>7000</v>
      </c>
      <c r="I23" s="25">
        <v>3.6</v>
      </c>
      <c r="J23" s="27"/>
      <c r="K23" s="27">
        <v>17398.96</v>
      </c>
      <c r="L23" s="29">
        <v>0.825</v>
      </c>
      <c r="M23" s="27">
        <v>7161.8</v>
      </c>
      <c r="N23" s="28"/>
      <c r="O23" s="73">
        <v>12041.7</v>
      </c>
      <c r="P23" s="43">
        <v>19.161344838232665</v>
      </c>
      <c r="Q23" s="43">
        <v>11791.7</v>
      </c>
      <c r="R23" s="74">
        <v>250</v>
      </c>
      <c r="S23" s="71">
        <v>39121.8</v>
      </c>
      <c r="T23" s="43">
        <v>39065.6</v>
      </c>
      <c r="U23" s="320">
        <v>56.2</v>
      </c>
      <c r="V23" s="32"/>
      <c r="W23" s="33">
        <f t="shared" si="0"/>
        <v>84824.26000000001</v>
      </c>
    </row>
    <row r="24" spans="1:23" s="34" customFormat="1" ht="12.75">
      <c r="A24" s="35">
        <v>16</v>
      </c>
      <c r="B24" s="36" t="s">
        <v>78</v>
      </c>
      <c r="C24" s="25">
        <v>4.87</v>
      </c>
      <c r="D24" s="37"/>
      <c r="E24" s="27"/>
      <c r="F24" s="27"/>
      <c r="G24" s="27">
        <v>14030.9</v>
      </c>
      <c r="H24" s="30">
        <v>48700</v>
      </c>
      <c r="I24" s="25">
        <v>0.38</v>
      </c>
      <c r="J24" s="27"/>
      <c r="K24" s="27">
        <v>11160.9</v>
      </c>
      <c r="L24" s="29"/>
      <c r="M24" s="27"/>
      <c r="N24" s="28"/>
      <c r="O24" s="73">
        <v>18428.8</v>
      </c>
      <c r="P24" s="43">
        <v>14.091389200344498</v>
      </c>
      <c r="Q24" s="43">
        <v>8671.7</v>
      </c>
      <c r="R24" s="74">
        <v>9757.1</v>
      </c>
      <c r="S24" s="71">
        <v>31791</v>
      </c>
      <c r="T24" s="43">
        <v>28767.1</v>
      </c>
      <c r="U24" s="320">
        <v>3023.9</v>
      </c>
      <c r="V24" s="32"/>
      <c r="W24" s="33">
        <f t="shared" si="0"/>
        <v>124111.6</v>
      </c>
    </row>
    <row r="25" spans="1:23" s="34" customFormat="1" ht="12.75">
      <c r="A25" s="35">
        <v>17</v>
      </c>
      <c r="B25" s="36" t="s">
        <v>79</v>
      </c>
      <c r="C25" s="25"/>
      <c r="D25" s="37"/>
      <c r="E25" s="27"/>
      <c r="F25" s="27"/>
      <c r="G25" s="27"/>
      <c r="H25" s="30"/>
      <c r="I25" s="25">
        <v>0.425</v>
      </c>
      <c r="J25" s="27"/>
      <c r="K25" s="27">
        <v>36745</v>
      </c>
      <c r="L25" s="29"/>
      <c r="M25" s="27"/>
      <c r="N25" s="28"/>
      <c r="O25" s="73">
        <v>16142.5</v>
      </c>
      <c r="P25" s="43">
        <v>20.8688798973009</v>
      </c>
      <c r="Q25" s="43">
        <v>12842.5</v>
      </c>
      <c r="R25" s="74">
        <v>3300</v>
      </c>
      <c r="S25" s="71">
        <v>48671.3</v>
      </c>
      <c r="T25" s="43">
        <v>47380.4</v>
      </c>
      <c r="U25" s="320">
        <v>1290.9</v>
      </c>
      <c r="V25" s="32"/>
      <c r="W25" s="33">
        <f t="shared" si="0"/>
        <v>101558.8</v>
      </c>
    </row>
    <row r="26" spans="1:23" s="34" customFormat="1" ht="12.75">
      <c r="A26" s="35">
        <v>18</v>
      </c>
      <c r="B26" s="36" t="s">
        <v>80</v>
      </c>
      <c r="C26" s="25"/>
      <c r="D26" s="37"/>
      <c r="E26" s="27"/>
      <c r="F26" s="27"/>
      <c r="G26" s="27"/>
      <c r="H26" s="30"/>
      <c r="I26" s="25">
        <v>1.35</v>
      </c>
      <c r="J26" s="27"/>
      <c r="K26" s="27">
        <v>10201.8</v>
      </c>
      <c r="L26" s="29"/>
      <c r="M26" s="27"/>
      <c r="N26" s="28"/>
      <c r="O26" s="73">
        <v>16299.9</v>
      </c>
      <c r="P26" s="43">
        <v>25</v>
      </c>
      <c r="Q26" s="43">
        <v>12819.9</v>
      </c>
      <c r="R26" s="74">
        <v>3480</v>
      </c>
      <c r="S26" s="71">
        <v>26645.3</v>
      </c>
      <c r="T26" s="43">
        <v>25941.2</v>
      </c>
      <c r="U26" s="320">
        <v>704.1</v>
      </c>
      <c r="V26" s="32"/>
      <c r="W26" s="33">
        <f t="shared" si="0"/>
        <v>53147</v>
      </c>
    </row>
    <row r="27" spans="1:23" s="34" customFormat="1" ht="12.75">
      <c r="A27" s="35">
        <v>19</v>
      </c>
      <c r="B27" s="75" t="s">
        <v>81</v>
      </c>
      <c r="C27" s="25">
        <v>2.5</v>
      </c>
      <c r="D27" s="37"/>
      <c r="E27" s="27"/>
      <c r="F27" s="27"/>
      <c r="G27" s="27">
        <v>730000</v>
      </c>
      <c r="H27" s="30"/>
      <c r="I27" s="25">
        <v>0.86</v>
      </c>
      <c r="J27" s="27">
        <v>24053.5</v>
      </c>
      <c r="K27" s="27">
        <v>0</v>
      </c>
      <c r="L27" s="29">
        <v>36.505</v>
      </c>
      <c r="M27" s="27">
        <v>122484.2</v>
      </c>
      <c r="N27" s="28">
        <v>42705.5</v>
      </c>
      <c r="O27" s="73">
        <v>48655</v>
      </c>
      <c r="P27" s="43">
        <v>75.99733502331854</v>
      </c>
      <c r="Q27" s="43">
        <v>46768</v>
      </c>
      <c r="R27" s="74">
        <v>1887</v>
      </c>
      <c r="S27" s="71">
        <v>179032.3</v>
      </c>
      <c r="T27" s="43">
        <v>175561.9</v>
      </c>
      <c r="U27" s="320">
        <v>3470.4</v>
      </c>
      <c r="V27" s="32"/>
      <c r="W27" s="33">
        <f t="shared" si="0"/>
        <v>1146930.5</v>
      </c>
    </row>
    <row r="28" spans="1:23" s="34" customFormat="1" ht="12.75">
      <c r="A28" s="35">
        <v>20</v>
      </c>
      <c r="B28" s="36" t="s">
        <v>82</v>
      </c>
      <c r="C28" s="25">
        <v>0.81063</v>
      </c>
      <c r="D28" s="37">
        <v>1</v>
      </c>
      <c r="E28" s="27" t="s">
        <v>155</v>
      </c>
      <c r="F28" s="27">
        <v>569795.5</v>
      </c>
      <c r="G28" s="27"/>
      <c r="H28" s="30"/>
      <c r="I28" s="25">
        <v>1</v>
      </c>
      <c r="J28" s="27"/>
      <c r="K28" s="27">
        <v>11000</v>
      </c>
      <c r="L28" s="29">
        <v>26.64</v>
      </c>
      <c r="M28" s="27">
        <v>63538.1</v>
      </c>
      <c r="N28" s="27">
        <v>15726</v>
      </c>
      <c r="O28" s="73">
        <v>21860.5</v>
      </c>
      <c r="P28" s="43">
        <v>30.168673524106662</v>
      </c>
      <c r="Q28" s="43">
        <v>18565.5</v>
      </c>
      <c r="R28" s="74">
        <v>3295</v>
      </c>
      <c r="S28" s="71">
        <v>93886.3</v>
      </c>
      <c r="T28" s="43">
        <v>90379.2</v>
      </c>
      <c r="U28" s="320">
        <v>3507.1</v>
      </c>
      <c r="V28" s="32"/>
      <c r="W28" s="33">
        <f t="shared" si="0"/>
        <v>775806.4</v>
      </c>
    </row>
    <row r="29" spans="1:23" s="34" customFormat="1" ht="12.75">
      <c r="A29" s="35">
        <v>21</v>
      </c>
      <c r="B29" s="36" t="s">
        <v>83</v>
      </c>
      <c r="C29" s="25">
        <v>3.9</v>
      </c>
      <c r="D29" s="37"/>
      <c r="E29" s="27"/>
      <c r="F29" s="27"/>
      <c r="G29" s="27">
        <v>11700</v>
      </c>
      <c r="H29" s="30">
        <v>39000</v>
      </c>
      <c r="I29" s="25">
        <v>4.3</v>
      </c>
      <c r="J29" s="27"/>
      <c r="K29" s="27">
        <v>51600</v>
      </c>
      <c r="L29" s="29">
        <v>9.205</v>
      </c>
      <c r="M29" s="27">
        <v>21974.5</v>
      </c>
      <c r="N29" s="27">
        <v>0</v>
      </c>
      <c r="O29" s="73">
        <v>16908</v>
      </c>
      <c r="P29" s="43">
        <v>14.475373340483271</v>
      </c>
      <c r="Q29" s="43">
        <v>8908</v>
      </c>
      <c r="R29" s="74">
        <v>8000</v>
      </c>
      <c r="S29" s="71">
        <v>31901.2</v>
      </c>
      <c r="T29" s="43">
        <v>29551.2</v>
      </c>
      <c r="U29" s="320">
        <v>2350</v>
      </c>
      <c r="V29" s="32"/>
      <c r="W29" s="33">
        <f t="shared" si="0"/>
        <v>173083.7</v>
      </c>
    </row>
    <row r="30" spans="1:23" s="34" customFormat="1" ht="12.75">
      <c r="A30" s="35">
        <v>22</v>
      </c>
      <c r="B30" s="36" t="s">
        <v>84</v>
      </c>
      <c r="C30" s="25">
        <v>4.2</v>
      </c>
      <c r="D30" s="37">
        <v>1</v>
      </c>
      <c r="E30" s="27"/>
      <c r="F30" s="27">
        <v>65000</v>
      </c>
      <c r="G30" s="27">
        <v>12600</v>
      </c>
      <c r="H30" s="30">
        <v>42000</v>
      </c>
      <c r="I30" s="25">
        <v>2.27</v>
      </c>
      <c r="J30" s="27">
        <v>9878.6</v>
      </c>
      <c r="K30" s="27">
        <v>5502</v>
      </c>
      <c r="L30" s="29"/>
      <c r="M30" s="27"/>
      <c r="N30" s="28"/>
      <c r="O30" s="73">
        <v>10880.9</v>
      </c>
      <c r="P30" s="43">
        <v>15.743512244267862</v>
      </c>
      <c r="Q30" s="43">
        <v>9688.4</v>
      </c>
      <c r="R30" s="74">
        <v>1192.5</v>
      </c>
      <c r="S30" s="71">
        <v>34044.5</v>
      </c>
      <c r="T30" s="43">
        <v>32016.3</v>
      </c>
      <c r="U30" s="320">
        <v>2028.2</v>
      </c>
      <c r="V30" s="32"/>
      <c r="W30" s="33">
        <f t="shared" si="0"/>
        <v>179906</v>
      </c>
    </row>
    <row r="31" spans="1:23" s="34" customFormat="1" ht="12.75">
      <c r="A31" s="35">
        <v>23</v>
      </c>
      <c r="B31" s="36" t="s">
        <v>85</v>
      </c>
      <c r="C31" s="25">
        <v>2.447</v>
      </c>
      <c r="D31" s="37"/>
      <c r="E31" s="27"/>
      <c r="F31" s="27"/>
      <c r="G31" s="27">
        <v>9866.6</v>
      </c>
      <c r="H31" s="30">
        <v>24000</v>
      </c>
      <c r="I31" s="25">
        <v>3.5</v>
      </c>
      <c r="J31" s="27"/>
      <c r="K31" s="27">
        <v>27775.8</v>
      </c>
      <c r="L31" s="29"/>
      <c r="M31" s="27"/>
      <c r="N31" s="28"/>
      <c r="O31" s="73">
        <v>17404.7</v>
      </c>
      <c r="P31" s="43">
        <v>28.038642161881086</v>
      </c>
      <c r="Q31" s="43">
        <v>17254.7</v>
      </c>
      <c r="R31" s="74">
        <v>150</v>
      </c>
      <c r="S31" s="71">
        <v>57556.8</v>
      </c>
      <c r="T31" s="43">
        <v>57118.8</v>
      </c>
      <c r="U31" s="320">
        <v>438</v>
      </c>
      <c r="V31" s="32"/>
      <c r="W31" s="33">
        <f t="shared" si="0"/>
        <v>136603.90000000002</v>
      </c>
    </row>
    <row r="32" spans="1:23" s="34" customFormat="1" ht="12.75">
      <c r="A32" s="35">
        <v>24</v>
      </c>
      <c r="B32" s="36" t="s">
        <v>86</v>
      </c>
      <c r="C32" s="25">
        <v>4.8</v>
      </c>
      <c r="D32" s="37"/>
      <c r="E32" s="27"/>
      <c r="F32" s="27"/>
      <c r="G32" s="27">
        <v>2522</v>
      </c>
      <c r="H32" s="30">
        <v>48000</v>
      </c>
      <c r="I32" s="25">
        <v>1.65</v>
      </c>
      <c r="J32" s="27">
        <v>77707.9</v>
      </c>
      <c r="K32" s="27">
        <v>12000</v>
      </c>
      <c r="L32" s="29">
        <v>27.089</v>
      </c>
      <c r="M32" s="27">
        <v>69915.9</v>
      </c>
      <c r="N32" s="27">
        <v>0</v>
      </c>
      <c r="O32" s="73">
        <v>35540.7</v>
      </c>
      <c r="P32" s="43">
        <v>44.07887680982792</v>
      </c>
      <c r="Q32" s="43">
        <v>27125.7</v>
      </c>
      <c r="R32" s="74">
        <v>8415</v>
      </c>
      <c r="S32" s="71">
        <v>120618.7</v>
      </c>
      <c r="T32" s="43">
        <v>116967.6</v>
      </c>
      <c r="U32" s="320">
        <v>3651.1</v>
      </c>
      <c r="V32" s="32"/>
      <c r="W32" s="33">
        <f t="shared" si="0"/>
        <v>366305.2</v>
      </c>
    </row>
    <row r="33" spans="1:23" s="34" customFormat="1" ht="12.75">
      <c r="A33" s="35">
        <v>25</v>
      </c>
      <c r="B33" s="36" t="s">
        <v>87</v>
      </c>
      <c r="C33" s="25"/>
      <c r="D33" s="37"/>
      <c r="E33" s="27"/>
      <c r="F33" s="27"/>
      <c r="G33" s="27"/>
      <c r="H33" s="30"/>
      <c r="I33" s="25">
        <v>1.7</v>
      </c>
      <c r="J33" s="27">
        <v>0</v>
      </c>
      <c r="K33" s="27">
        <v>13532.5</v>
      </c>
      <c r="L33" s="29"/>
      <c r="M33" s="27"/>
      <c r="N33" s="28"/>
      <c r="O33" s="73">
        <v>13652.4</v>
      </c>
      <c r="P33" s="43">
        <v>21.1</v>
      </c>
      <c r="Q33" s="43">
        <v>12452.4</v>
      </c>
      <c r="R33" s="74">
        <v>1200</v>
      </c>
      <c r="S33" s="71">
        <v>24983.7</v>
      </c>
      <c r="T33" s="43">
        <v>24307.5</v>
      </c>
      <c r="U33" s="320">
        <v>676.2</v>
      </c>
      <c r="V33" s="32"/>
      <c r="W33" s="33">
        <f t="shared" si="0"/>
        <v>52168.600000000006</v>
      </c>
    </row>
    <row r="34" spans="1:23" s="34" customFormat="1" ht="12.75">
      <c r="A34" s="35">
        <v>26</v>
      </c>
      <c r="B34" s="36" t="s">
        <v>88</v>
      </c>
      <c r="C34" s="25">
        <v>4</v>
      </c>
      <c r="D34" s="37"/>
      <c r="E34" s="27"/>
      <c r="F34" s="27"/>
      <c r="G34" s="27">
        <v>38000</v>
      </c>
      <c r="H34" s="30">
        <v>40000</v>
      </c>
      <c r="I34" s="25">
        <v>0</v>
      </c>
      <c r="J34" s="27"/>
      <c r="K34" s="27">
        <v>0</v>
      </c>
      <c r="L34" s="29"/>
      <c r="M34" s="27"/>
      <c r="N34" s="28"/>
      <c r="O34" s="73">
        <v>16142.5</v>
      </c>
      <c r="P34" s="43">
        <v>18.106404068964395</v>
      </c>
      <c r="Q34" s="43">
        <v>11142.5</v>
      </c>
      <c r="R34" s="74">
        <v>5000</v>
      </c>
      <c r="S34" s="71">
        <v>38604.7</v>
      </c>
      <c r="T34" s="43">
        <v>36964</v>
      </c>
      <c r="U34" s="320">
        <v>1640.7</v>
      </c>
      <c r="V34" s="32"/>
      <c r="W34" s="33">
        <f t="shared" si="0"/>
        <v>132747.2</v>
      </c>
    </row>
    <row r="35" spans="1:23" s="34" customFormat="1" ht="12.75">
      <c r="A35" s="35">
        <v>27</v>
      </c>
      <c r="B35" s="36" t="s">
        <v>89</v>
      </c>
      <c r="C35" s="25"/>
      <c r="D35" s="37"/>
      <c r="E35" s="27"/>
      <c r="F35" s="27"/>
      <c r="G35" s="27"/>
      <c r="H35" s="30"/>
      <c r="I35" s="25">
        <v>0.5</v>
      </c>
      <c r="J35" s="27">
        <v>8859.9</v>
      </c>
      <c r="K35" s="27">
        <v>0</v>
      </c>
      <c r="L35" s="29">
        <v>0.565</v>
      </c>
      <c r="M35" s="27">
        <v>0</v>
      </c>
      <c r="N35" s="28">
        <v>8605.6</v>
      </c>
      <c r="O35" s="73">
        <v>12639.6</v>
      </c>
      <c r="P35" s="43">
        <v>16.476705828823995</v>
      </c>
      <c r="Q35" s="43">
        <v>10139.6</v>
      </c>
      <c r="R35" s="74">
        <v>2500</v>
      </c>
      <c r="S35" s="71">
        <v>35004</v>
      </c>
      <c r="T35" s="43">
        <v>33619.9</v>
      </c>
      <c r="U35" s="320">
        <v>1384.1</v>
      </c>
      <c r="V35" s="32"/>
      <c r="W35" s="33">
        <f t="shared" si="0"/>
        <v>65109.1</v>
      </c>
    </row>
    <row r="36" spans="1:23" s="34" customFormat="1" ht="12.75">
      <c r="A36" s="35">
        <v>28</v>
      </c>
      <c r="B36" s="36" t="s">
        <v>90</v>
      </c>
      <c r="C36" s="25"/>
      <c r="D36" s="37"/>
      <c r="E36" s="27"/>
      <c r="F36" s="27"/>
      <c r="G36" s="27"/>
      <c r="H36" s="30"/>
      <c r="I36" s="25">
        <v>0.96</v>
      </c>
      <c r="J36" s="27">
        <v>0</v>
      </c>
      <c r="K36" s="27">
        <v>27677.8</v>
      </c>
      <c r="L36" s="29"/>
      <c r="M36" s="27"/>
      <c r="N36" s="28"/>
      <c r="O36" s="73">
        <v>20809.3</v>
      </c>
      <c r="P36" s="43">
        <v>26.502380604169712</v>
      </c>
      <c r="Q36" s="43">
        <v>16309.3</v>
      </c>
      <c r="R36" s="74">
        <v>4500</v>
      </c>
      <c r="S36" s="71">
        <v>38936.3</v>
      </c>
      <c r="T36" s="43">
        <v>37568.3</v>
      </c>
      <c r="U36" s="320">
        <v>1368</v>
      </c>
      <c r="V36" s="32"/>
      <c r="W36" s="33">
        <f t="shared" si="0"/>
        <v>87423.4</v>
      </c>
    </row>
    <row r="37" spans="1:23" s="34" customFormat="1" ht="12.75">
      <c r="A37" s="35">
        <v>29</v>
      </c>
      <c r="B37" s="36" t="s">
        <v>91</v>
      </c>
      <c r="C37" s="25">
        <v>2.7</v>
      </c>
      <c r="D37" s="37"/>
      <c r="E37" s="27"/>
      <c r="F37" s="27"/>
      <c r="G37" s="27">
        <v>5290</v>
      </c>
      <c r="H37" s="30">
        <v>27000</v>
      </c>
      <c r="I37" s="25">
        <v>1.783</v>
      </c>
      <c r="J37" s="27"/>
      <c r="K37" s="27">
        <v>18018.6</v>
      </c>
      <c r="L37" s="29"/>
      <c r="M37" s="27"/>
      <c r="N37" s="28"/>
      <c r="O37" s="73">
        <v>9631.9</v>
      </c>
      <c r="P37" s="43">
        <v>15.651700547620209</v>
      </c>
      <c r="Q37" s="43">
        <v>9631.9</v>
      </c>
      <c r="R37" s="74"/>
      <c r="S37" s="71">
        <v>30178.2</v>
      </c>
      <c r="T37" s="43">
        <v>30178.2</v>
      </c>
      <c r="U37" s="320">
        <v>0</v>
      </c>
      <c r="V37" s="32"/>
      <c r="W37" s="33">
        <f t="shared" si="0"/>
        <v>90118.7</v>
      </c>
    </row>
    <row r="38" spans="1:24" s="34" customFormat="1" ht="12.75">
      <c r="A38" s="35">
        <v>30</v>
      </c>
      <c r="B38" s="36" t="s">
        <v>92</v>
      </c>
      <c r="C38" s="25"/>
      <c r="D38" s="37"/>
      <c r="E38" s="27"/>
      <c r="F38" s="27"/>
      <c r="G38" s="27"/>
      <c r="H38" s="30"/>
      <c r="I38" s="25">
        <v>2.5</v>
      </c>
      <c r="J38" s="27">
        <v>17863.8</v>
      </c>
      <c r="K38" s="27">
        <v>9889.9</v>
      </c>
      <c r="L38" s="29">
        <v>0.3</v>
      </c>
      <c r="M38" s="27">
        <v>2030.3</v>
      </c>
      <c r="N38" s="28">
        <v>0</v>
      </c>
      <c r="O38" s="73">
        <v>11610.1</v>
      </c>
      <c r="P38" s="43">
        <v>14.803782966899039</v>
      </c>
      <c r="Q38" s="43">
        <v>9110.1</v>
      </c>
      <c r="R38" s="74">
        <v>2500</v>
      </c>
      <c r="S38" s="71">
        <v>33129.1</v>
      </c>
      <c r="T38" s="43">
        <v>31727.2</v>
      </c>
      <c r="U38" s="320">
        <v>1401.9</v>
      </c>
      <c r="V38" s="32"/>
      <c r="W38" s="33">
        <f t="shared" si="0"/>
        <v>74523.2</v>
      </c>
      <c r="X38" s="62"/>
    </row>
    <row r="39" spans="1:24" s="34" customFormat="1" ht="12.75" hidden="1">
      <c r="A39" s="35"/>
      <c r="B39" s="39" t="s">
        <v>93</v>
      </c>
      <c r="C39" s="40"/>
      <c r="D39" s="37"/>
      <c r="E39" s="27"/>
      <c r="F39" s="27"/>
      <c r="G39" s="27"/>
      <c r="H39" s="30"/>
      <c r="I39" s="25"/>
      <c r="J39" s="27"/>
      <c r="K39" s="41"/>
      <c r="L39" s="29"/>
      <c r="M39" s="27"/>
      <c r="N39" s="28"/>
      <c r="O39" s="29">
        <v>0</v>
      </c>
      <c r="P39" s="27"/>
      <c r="Q39" s="27"/>
      <c r="R39" s="30"/>
      <c r="S39" s="29">
        <v>0</v>
      </c>
      <c r="T39" s="31"/>
      <c r="U39" s="320"/>
      <c r="V39" s="32"/>
      <c r="W39" s="33">
        <f>F39+G39+J39+K39+M39+N39+O39+S39+V39</f>
        <v>0</v>
      </c>
      <c r="X39" s="62"/>
    </row>
    <row r="40" spans="1:23" s="34" customFormat="1" ht="12.75" hidden="1">
      <c r="A40" s="35"/>
      <c r="B40" s="39" t="s">
        <v>94</v>
      </c>
      <c r="C40" s="42"/>
      <c r="D40" s="37"/>
      <c r="E40" s="43"/>
      <c r="F40" s="43"/>
      <c r="G40" s="43"/>
      <c r="H40" s="47"/>
      <c r="I40" s="49"/>
      <c r="J40" s="43"/>
      <c r="K40" s="45"/>
      <c r="L40" s="46"/>
      <c r="M40" s="43"/>
      <c r="N40" s="44"/>
      <c r="O40" s="29">
        <v>0</v>
      </c>
      <c r="P40" s="43"/>
      <c r="Q40" s="43"/>
      <c r="R40" s="47"/>
      <c r="S40" s="29">
        <v>0</v>
      </c>
      <c r="T40" s="48"/>
      <c r="U40" s="319"/>
      <c r="V40" s="3"/>
      <c r="W40" s="33">
        <f>F40+G40+J40+K40+M40+N40+O40+S40+V40</f>
        <v>0</v>
      </c>
    </row>
    <row r="41" spans="1:23" s="34" customFormat="1" ht="12.75" hidden="1">
      <c r="A41" s="35"/>
      <c r="B41" s="39" t="s">
        <v>95</v>
      </c>
      <c r="C41" s="42"/>
      <c r="D41" s="37"/>
      <c r="E41" s="43"/>
      <c r="F41" s="43"/>
      <c r="G41" s="43"/>
      <c r="H41" s="47"/>
      <c r="I41" s="49"/>
      <c r="J41" s="43"/>
      <c r="K41" s="45"/>
      <c r="L41" s="46"/>
      <c r="M41" s="43"/>
      <c r="N41" s="44"/>
      <c r="O41" s="29">
        <v>0</v>
      </c>
      <c r="P41" s="43"/>
      <c r="Q41" s="43"/>
      <c r="R41" s="47"/>
      <c r="S41" s="29">
        <v>0</v>
      </c>
      <c r="T41" s="48"/>
      <c r="U41" s="319"/>
      <c r="V41" s="3"/>
      <c r="W41" s="33">
        <f>F41+G41+J41+K41+M41+N41+O41+S41+V41</f>
        <v>0</v>
      </c>
    </row>
    <row r="42" spans="1:23" s="34" customFormat="1" ht="12.75" hidden="1">
      <c r="A42" s="35"/>
      <c r="B42" s="39" t="s">
        <v>96</v>
      </c>
      <c r="C42" s="42"/>
      <c r="D42" s="37"/>
      <c r="E42" s="43"/>
      <c r="F42" s="43"/>
      <c r="G42" s="43"/>
      <c r="H42" s="47"/>
      <c r="I42" s="49"/>
      <c r="J42" s="43"/>
      <c r="K42" s="45"/>
      <c r="L42" s="46"/>
      <c r="M42" s="43"/>
      <c r="N42" s="44"/>
      <c r="O42" s="29">
        <v>0</v>
      </c>
      <c r="P42" s="43"/>
      <c r="Q42" s="43"/>
      <c r="R42" s="47"/>
      <c r="S42" s="29">
        <v>0</v>
      </c>
      <c r="T42" s="48"/>
      <c r="U42" s="319"/>
      <c r="V42" s="3"/>
      <c r="W42" s="33">
        <f>F42+G42+J42+K42+M42+N42+O42+S42+V42</f>
        <v>0</v>
      </c>
    </row>
    <row r="43" spans="1:23" s="34" customFormat="1" ht="12.75" hidden="1">
      <c r="A43" s="309"/>
      <c r="B43" s="75" t="s">
        <v>44</v>
      </c>
      <c r="C43" s="42"/>
      <c r="D43" s="37"/>
      <c r="E43" s="43"/>
      <c r="F43" s="43"/>
      <c r="G43" s="43"/>
      <c r="H43" s="47"/>
      <c r="I43" s="49"/>
      <c r="J43" s="27"/>
      <c r="K43" s="41"/>
      <c r="L43" s="29"/>
      <c r="M43" s="27"/>
      <c r="N43" s="28"/>
      <c r="O43" s="29"/>
      <c r="P43" s="27"/>
      <c r="Q43" s="27"/>
      <c r="R43" s="30"/>
      <c r="S43" s="29"/>
      <c r="T43" s="31"/>
      <c r="U43" s="320"/>
      <c r="V43" s="32"/>
      <c r="W43" s="33">
        <f>F43+G43+J43+K43+M43+N43+O43+S43+V43</f>
        <v>0</v>
      </c>
    </row>
    <row r="44" spans="1:23" s="53" customFormat="1" ht="12.75">
      <c r="A44" s="935" t="s">
        <v>43</v>
      </c>
      <c r="B44" s="936"/>
      <c r="C44" s="49"/>
      <c r="D44" s="37"/>
      <c r="E44" s="50"/>
      <c r="F44" s="51"/>
      <c r="G44" s="51"/>
      <c r="H44" s="298"/>
      <c r="I44" s="49"/>
      <c r="J44" s="27"/>
      <c r="K44" s="27"/>
      <c r="L44" s="29"/>
      <c r="M44" s="27"/>
      <c r="N44" s="28"/>
      <c r="O44" s="29">
        <v>0</v>
      </c>
      <c r="P44" s="27"/>
      <c r="Q44" s="27"/>
      <c r="R44" s="41"/>
      <c r="S44" s="29">
        <v>0</v>
      </c>
      <c r="T44" s="31"/>
      <c r="U44" s="28"/>
      <c r="V44" s="32"/>
      <c r="W44" s="310">
        <v>24299.8</v>
      </c>
    </row>
    <row r="45" spans="1:23" s="53" customFormat="1" ht="12.75">
      <c r="A45" s="928" t="s">
        <v>97</v>
      </c>
      <c r="B45" s="929"/>
      <c r="C45" s="49"/>
      <c r="D45" s="37"/>
      <c r="E45" s="54"/>
      <c r="F45" s="27">
        <v>15000</v>
      </c>
      <c r="G45" s="27">
        <v>21995.3</v>
      </c>
      <c r="H45" s="298"/>
      <c r="I45" s="49"/>
      <c r="J45" s="27">
        <v>1000</v>
      </c>
      <c r="K45" s="27">
        <v>3000</v>
      </c>
      <c r="L45" s="46"/>
      <c r="M45" s="27">
        <v>1500</v>
      </c>
      <c r="N45" s="28">
        <v>800</v>
      </c>
      <c r="O45" s="29">
        <v>0</v>
      </c>
      <c r="P45" s="27"/>
      <c r="Q45" s="27"/>
      <c r="R45" s="41"/>
      <c r="S45" s="29">
        <v>14513.5</v>
      </c>
      <c r="T45" s="48"/>
      <c r="U45" s="44"/>
      <c r="V45" s="32"/>
      <c r="W45" s="33">
        <f>F45+G45+J45+K45+M45+N45+O45+S45+V45</f>
        <v>57808.8</v>
      </c>
    </row>
    <row r="46" spans="1:23" s="53" customFormat="1" ht="12.75">
      <c r="A46" s="924" t="s">
        <v>3</v>
      </c>
      <c r="B46" s="925"/>
      <c r="C46" s="49"/>
      <c r="D46" s="37"/>
      <c r="E46" s="54"/>
      <c r="F46" s="27"/>
      <c r="G46" s="27"/>
      <c r="H46" s="298"/>
      <c r="I46" s="49"/>
      <c r="J46" s="27"/>
      <c r="K46" s="27"/>
      <c r="L46" s="46"/>
      <c r="M46" s="27">
        <v>7024.5</v>
      </c>
      <c r="N46" s="28"/>
      <c r="O46" s="29"/>
      <c r="P46" s="27"/>
      <c r="Q46" s="27"/>
      <c r="R46" s="41"/>
      <c r="S46" s="29"/>
      <c r="T46" s="48"/>
      <c r="U46" s="44"/>
      <c r="V46" s="32"/>
      <c r="W46" s="33">
        <f>F46+G46+J46+K46+M46+N46+O46+S46+V46</f>
        <v>7024.5</v>
      </c>
    </row>
    <row r="47" spans="1:23" s="53" customFormat="1" ht="12.75">
      <c r="A47" s="924" t="s">
        <v>98</v>
      </c>
      <c r="B47" s="925"/>
      <c r="C47" s="49"/>
      <c r="D47" s="37"/>
      <c r="E47" s="50"/>
      <c r="F47" s="51"/>
      <c r="G47" s="51"/>
      <c r="H47" s="298"/>
      <c r="I47" s="49"/>
      <c r="J47" s="43"/>
      <c r="K47" s="27"/>
      <c r="L47" s="46"/>
      <c r="M47" s="27"/>
      <c r="N47" s="28"/>
      <c r="O47" s="29">
        <v>0</v>
      </c>
      <c r="P47" s="27"/>
      <c r="Q47" s="27"/>
      <c r="R47" s="41"/>
      <c r="S47" s="29">
        <v>0</v>
      </c>
      <c r="T47" s="48"/>
      <c r="U47" s="44"/>
      <c r="V47" s="32"/>
      <c r="W47" s="310">
        <f>110000</f>
        <v>110000</v>
      </c>
    </row>
    <row r="48" spans="1:23" s="53" customFormat="1" ht="12.75">
      <c r="A48" s="928" t="s">
        <v>99</v>
      </c>
      <c r="B48" s="929"/>
      <c r="C48" s="49"/>
      <c r="D48" s="37"/>
      <c r="E48" s="50"/>
      <c r="F48" s="51"/>
      <c r="G48" s="51"/>
      <c r="H48" s="298"/>
      <c r="I48" s="49"/>
      <c r="J48" s="43"/>
      <c r="K48" s="51"/>
      <c r="L48" s="46"/>
      <c r="M48" s="27"/>
      <c r="N48" s="28"/>
      <c r="O48" s="29">
        <v>0</v>
      </c>
      <c r="P48" s="27"/>
      <c r="Q48" s="27"/>
      <c r="R48" s="41"/>
      <c r="S48" s="29">
        <v>0</v>
      </c>
      <c r="T48" s="48"/>
      <c r="U48" s="44"/>
      <c r="V48" s="32"/>
      <c r="W48" s="310">
        <f>120641.8+27874+18400</f>
        <v>166915.8</v>
      </c>
    </row>
    <row r="49" spans="1:23" s="53" customFormat="1" ht="12.75">
      <c r="A49" s="916" t="s">
        <v>100</v>
      </c>
      <c r="B49" s="917"/>
      <c r="C49" s="54"/>
      <c r="D49" s="37"/>
      <c r="E49" s="51"/>
      <c r="F49" s="51"/>
      <c r="G49" s="51"/>
      <c r="H49" s="298"/>
      <c r="I49" s="49"/>
      <c r="J49" s="51"/>
      <c r="K49" s="55"/>
      <c r="L49" s="46"/>
      <c r="M49" s="51"/>
      <c r="N49" s="52"/>
      <c r="O49" s="29">
        <v>0</v>
      </c>
      <c r="P49" s="27"/>
      <c r="Q49" s="27"/>
      <c r="R49" s="41"/>
      <c r="S49" s="29">
        <v>0</v>
      </c>
      <c r="T49" s="43"/>
      <c r="U49" s="44"/>
      <c r="V49" s="32"/>
      <c r="W49" s="310">
        <f>15000+4400</f>
        <v>19400</v>
      </c>
    </row>
    <row r="50" spans="1:23" s="53" customFormat="1" ht="12.75">
      <c r="A50" s="926" t="s">
        <v>325</v>
      </c>
      <c r="B50" s="927"/>
      <c r="C50" s="54"/>
      <c r="D50" s="533"/>
      <c r="E50" s="534"/>
      <c r="F50" s="538">
        <v>0</v>
      </c>
      <c r="G50" s="538">
        <v>0</v>
      </c>
      <c r="H50" s="538">
        <v>0</v>
      </c>
      <c r="I50" s="535"/>
      <c r="J50" s="51">
        <v>0</v>
      </c>
      <c r="K50" s="43">
        <v>5663</v>
      </c>
      <c r="L50" s="536"/>
      <c r="M50" s="534"/>
      <c r="N50" s="537"/>
      <c r="O50" s="29">
        <v>0</v>
      </c>
      <c r="P50" s="538"/>
      <c r="Q50" s="538"/>
      <c r="R50" s="539"/>
      <c r="S50" s="29">
        <v>0</v>
      </c>
      <c r="T50" s="538"/>
      <c r="U50" s="540"/>
      <c r="V50" s="541"/>
      <c r="W50" s="840">
        <f>G50+F50+J50+K50+M50+N50+O50+S50+H50</f>
        <v>5663</v>
      </c>
    </row>
    <row r="51" spans="1:23" s="62" customFormat="1" ht="21.75" customHeight="1">
      <c r="A51" s="918" t="s">
        <v>101</v>
      </c>
      <c r="B51" s="919"/>
      <c r="C51" s="57">
        <f aca="true" t="shared" si="1" ref="C51:J51">SUM(C9:C50)</f>
        <v>44.55863</v>
      </c>
      <c r="D51" s="57">
        <f t="shared" si="1"/>
        <v>4</v>
      </c>
      <c r="E51" s="57">
        <f t="shared" si="1"/>
        <v>0</v>
      </c>
      <c r="F51" s="57">
        <f t="shared" si="1"/>
        <v>758885.9</v>
      </c>
      <c r="G51" s="57">
        <f t="shared" si="1"/>
        <v>932949.3</v>
      </c>
      <c r="H51" s="57">
        <f t="shared" si="1"/>
        <v>441270</v>
      </c>
      <c r="I51" s="56">
        <f t="shared" si="1"/>
        <v>46.61300000000001</v>
      </c>
      <c r="J51" s="57">
        <f t="shared" si="1"/>
        <v>263236</v>
      </c>
      <c r="K51" s="58">
        <f aca="true" t="shared" si="2" ref="K51:W51">SUM(K9:K50)</f>
        <v>431297.19999999995</v>
      </c>
      <c r="L51" s="56">
        <f t="shared" si="2"/>
        <v>162.729</v>
      </c>
      <c r="M51" s="57">
        <f t="shared" si="2"/>
        <v>502198.49999999994</v>
      </c>
      <c r="N51" s="58">
        <f t="shared" si="2"/>
        <v>119281.60200000001</v>
      </c>
      <c r="O51" s="56">
        <f t="shared" si="2"/>
        <v>505685.70000000007</v>
      </c>
      <c r="P51" s="57">
        <f t="shared" si="2"/>
        <v>673.6436877427321</v>
      </c>
      <c r="Q51" s="57">
        <f t="shared" si="2"/>
        <v>404384.80000000005</v>
      </c>
      <c r="R51" s="58">
        <f t="shared" si="2"/>
        <v>101300.9</v>
      </c>
      <c r="S51" s="56">
        <f t="shared" si="2"/>
        <v>1464950.6</v>
      </c>
      <c r="T51" s="57">
        <f t="shared" si="2"/>
        <v>1400291.7999999998</v>
      </c>
      <c r="U51" s="58">
        <f t="shared" si="2"/>
        <v>50145.299999999996</v>
      </c>
      <c r="V51" s="63">
        <f t="shared" si="2"/>
        <v>0</v>
      </c>
      <c r="W51" s="63">
        <f t="shared" si="2"/>
        <v>5740370.402</v>
      </c>
    </row>
    <row r="52" spans="1:23" s="64" customFormat="1" ht="12.75">
      <c r="A52" s="920" t="s">
        <v>102</v>
      </c>
      <c r="B52" s="921"/>
      <c r="C52" s="46"/>
      <c r="D52" s="43"/>
      <c r="E52" s="27"/>
      <c r="F52" s="27"/>
      <c r="G52" s="27"/>
      <c r="H52" s="30"/>
      <c r="I52" s="29"/>
      <c r="J52" s="27"/>
      <c r="K52" s="28"/>
      <c r="L52" s="29"/>
      <c r="M52" s="27"/>
      <c r="N52" s="28"/>
      <c r="O52" s="29"/>
      <c r="P52" s="27"/>
      <c r="Q52" s="27"/>
      <c r="R52" s="28"/>
      <c r="S52" s="29"/>
      <c r="T52" s="27"/>
      <c r="U52" s="28"/>
      <c r="V52" s="1"/>
      <c r="W52" s="846">
        <f>4190</f>
        <v>4190</v>
      </c>
    </row>
    <row r="53" spans="1:23" s="62" customFormat="1" ht="12.75">
      <c r="A53" s="65"/>
      <c r="B53" s="66" t="s">
        <v>103</v>
      </c>
      <c r="C53" s="60"/>
      <c r="D53" s="59"/>
      <c r="E53" s="59"/>
      <c r="F53" s="59"/>
      <c r="G53" s="59"/>
      <c r="H53" s="299"/>
      <c r="I53" s="60"/>
      <c r="J53" s="59"/>
      <c r="K53" s="67"/>
      <c r="L53" s="60"/>
      <c r="M53" s="59"/>
      <c r="N53" s="67"/>
      <c r="O53" s="60"/>
      <c r="P53" s="59"/>
      <c r="Q53" s="59"/>
      <c r="R53" s="67"/>
      <c r="S53" s="60">
        <f>550</f>
        <v>550</v>
      </c>
      <c r="T53" s="59"/>
      <c r="U53" s="67"/>
      <c r="V53" s="61"/>
      <c r="W53" s="33">
        <f>F53+G53+J53+K53+M53+N53+O53+S53+V53</f>
        <v>550</v>
      </c>
    </row>
    <row r="54" spans="1:23" s="62" customFormat="1" ht="30.75" customHeight="1">
      <c r="A54" s="922" t="s">
        <v>356</v>
      </c>
      <c r="B54" s="923"/>
      <c r="C54" s="43"/>
      <c r="D54" s="43"/>
      <c r="E54" s="43"/>
      <c r="F54" s="43"/>
      <c r="G54" s="43"/>
      <c r="H54" s="47"/>
      <c r="I54" s="46"/>
      <c r="J54" s="43"/>
      <c r="K54" s="44"/>
      <c r="L54" s="46"/>
      <c r="M54" s="43"/>
      <c r="N54" s="44"/>
      <c r="O54" s="46"/>
      <c r="P54" s="43"/>
      <c r="Q54" s="43"/>
      <c r="R54" s="44"/>
      <c r="S54" s="46"/>
      <c r="T54" s="43"/>
      <c r="U54" s="44"/>
      <c r="V54" s="3"/>
      <c r="W54" s="33">
        <f>87470.5+8127.7+65702.7+5887.3-1696.6-54890.4+2782.6-23.6-2782.6+3347.7</f>
        <v>113925.29999999997</v>
      </c>
    </row>
    <row r="55" spans="1:23" s="62" customFormat="1" ht="12.75">
      <c r="A55" s="915" t="s">
        <v>104</v>
      </c>
      <c r="B55" s="915"/>
      <c r="C55" s="56">
        <f>SUM(C51:C54)</f>
        <v>44.55863</v>
      </c>
      <c r="D55" s="57">
        <f aca="true" t="shared" si="3" ref="D55:W55">SUM(D51:D54)</f>
        <v>4</v>
      </c>
      <c r="E55" s="57">
        <f t="shared" si="3"/>
        <v>0</v>
      </c>
      <c r="F55" s="57">
        <f t="shared" si="3"/>
        <v>758885.9</v>
      </c>
      <c r="G55" s="57">
        <f t="shared" si="3"/>
        <v>932949.3</v>
      </c>
      <c r="H55" s="57">
        <f t="shared" si="3"/>
        <v>441270</v>
      </c>
      <c r="I55" s="56">
        <f t="shared" si="3"/>
        <v>46.61300000000001</v>
      </c>
      <c r="J55" s="57">
        <f t="shared" si="3"/>
        <v>263236</v>
      </c>
      <c r="K55" s="58">
        <f t="shared" si="3"/>
        <v>431297.19999999995</v>
      </c>
      <c r="L55" s="56">
        <f t="shared" si="3"/>
        <v>162.729</v>
      </c>
      <c r="M55" s="57">
        <f t="shared" si="3"/>
        <v>502198.49999999994</v>
      </c>
      <c r="N55" s="58">
        <f t="shared" si="3"/>
        <v>119281.60200000001</v>
      </c>
      <c r="O55" s="56">
        <f t="shared" si="3"/>
        <v>505685.70000000007</v>
      </c>
      <c r="P55" s="57">
        <f t="shared" si="3"/>
        <v>673.6436877427321</v>
      </c>
      <c r="Q55" s="57">
        <f t="shared" si="3"/>
        <v>404384.80000000005</v>
      </c>
      <c r="R55" s="58">
        <f t="shared" si="3"/>
        <v>101300.9</v>
      </c>
      <c r="S55" s="56">
        <f t="shared" si="3"/>
        <v>1465500.6</v>
      </c>
      <c r="T55" s="57">
        <f t="shared" si="3"/>
        <v>1400291.7999999998</v>
      </c>
      <c r="U55" s="58">
        <f t="shared" si="3"/>
        <v>50145.299999999996</v>
      </c>
      <c r="V55" s="56">
        <f t="shared" si="3"/>
        <v>0</v>
      </c>
      <c r="W55" s="2">
        <f t="shared" si="3"/>
        <v>5859035.702</v>
      </c>
    </row>
    <row r="56" spans="1:23" s="14" customFormat="1" ht="12.75">
      <c r="A56" s="5"/>
      <c r="B56" s="5"/>
      <c r="C56" s="13"/>
      <c r="D56" s="5"/>
      <c r="E56" s="5"/>
      <c r="F56" s="6"/>
      <c r="G56" s="5"/>
      <c r="H56" s="5"/>
      <c r="I56" s="13"/>
      <c r="J56" s="6"/>
      <c r="K56" s="5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15"/>
      <c r="B57" s="15"/>
      <c r="C57" s="15"/>
      <c r="D57" s="15"/>
      <c r="E57" s="15"/>
      <c r="F57" s="15"/>
      <c r="G57" s="302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15"/>
      <c r="T59" s="15"/>
      <c r="U59" s="15"/>
      <c r="V59" s="15"/>
      <c r="W59" s="15"/>
    </row>
    <row r="60" spans="1:23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76"/>
      <c r="R60" s="15"/>
      <c r="S60" s="77"/>
      <c r="T60" s="15"/>
      <c r="U60" s="15"/>
      <c r="V60" s="15"/>
      <c r="W60" s="15"/>
    </row>
    <row r="61" spans="1:23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</sheetData>
  <sheetProtection/>
  <mergeCells count="38">
    <mergeCell ref="C5:H5"/>
    <mergeCell ref="A48:B48"/>
    <mergeCell ref="W5:W8"/>
    <mergeCell ref="T6:U6"/>
    <mergeCell ref="A44:B44"/>
    <mergeCell ref="A45:B45"/>
    <mergeCell ref="A47:B47"/>
    <mergeCell ref="P6:R6"/>
    <mergeCell ref="S6:S8"/>
    <mergeCell ref="P7:Q7"/>
    <mergeCell ref="H6:H7"/>
    <mergeCell ref="A55:B55"/>
    <mergeCell ref="A49:B49"/>
    <mergeCell ref="A51:B51"/>
    <mergeCell ref="A52:B52"/>
    <mergeCell ref="A54:B54"/>
    <mergeCell ref="A46:B46"/>
    <mergeCell ref="A50:B50"/>
    <mergeCell ref="V5:V8"/>
    <mergeCell ref="G6:G7"/>
    <mergeCell ref="I6:I8"/>
    <mergeCell ref="O5:R5"/>
    <mergeCell ref="J6:J7"/>
    <mergeCell ref="K6:K7"/>
    <mergeCell ref="L6:L8"/>
    <mergeCell ref="M6:M7"/>
    <mergeCell ref="N6:N7"/>
    <mergeCell ref="O6:O8"/>
    <mergeCell ref="A1:W1"/>
    <mergeCell ref="A2:W2"/>
    <mergeCell ref="A3:W3"/>
    <mergeCell ref="B5:B8"/>
    <mergeCell ref="I5:K5"/>
    <mergeCell ref="L5:N5"/>
    <mergeCell ref="C6:C8"/>
    <mergeCell ref="D6:E7"/>
    <mergeCell ref="F6:F7"/>
    <mergeCell ref="S5:U5"/>
  </mergeCells>
  <conditionalFormatting sqref="W52:W54 B49 Q60 P9:Q38 A49:A50 T9:W50 L9:N38 L39:S50 C9:K50">
    <cfRule type="cellIs" priority="1" dxfId="0" operator="equal" stopIfTrue="1">
      <formula>0</formula>
    </cfRule>
  </conditionalFormatting>
  <printOptions horizontalCentered="1" verticalCentered="1"/>
  <pageMargins left="0.15748031496062992" right="0.15748031496062992" top="0.5905511811023623" bottom="0.1968503937007874" header="0.5118110236220472" footer="0.5118110236220472"/>
  <pageSetup fitToHeight="1" fitToWidth="1" horizontalDpi="600" verticalDpi="600" orientation="landscape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A175"/>
  <sheetViews>
    <sheetView view="pageBreakPreview" zoomScaleNormal="80" zoomScaleSheetLayoutView="100" workbookViewId="0" topLeftCell="A1">
      <pane xSplit="2" ySplit="8" topLeftCell="P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X1:X2"/>
    </sheetView>
  </sheetViews>
  <sheetFormatPr defaultColWidth="12.25390625" defaultRowHeight="12.75"/>
  <cols>
    <col min="1" max="1" width="3.125" style="8" bestFit="1" customWidth="1"/>
    <col min="2" max="2" width="22.375" style="8" customWidth="1"/>
    <col min="3" max="3" width="7.25390625" style="8" customWidth="1"/>
    <col min="4" max="4" width="5.75390625" style="8" customWidth="1"/>
    <col min="5" max="5" width="5.625" style="8" bestFit="1" customWidth="1"/>
    <col min="6" max="6" width="11.375" style="8" customWidth="1"/>
    <col min="7" max="7" width="12.25390625" style="8" customWidth="1"/>
    <col min="8" max="8" width="12.25390625" style="8" hidden="1" customWidth="1"/>
    <col min="9" max="9" width="12.25390625" style="8" customWidth="1"/>
    <col min="10" max="10" width="5.75390625" style="8" bestFit="1" customWidth="1"/>
    <col min="11" max="11" width="10.25390625" style="8" customWidth="1"/>
    <col min="12" max="12" width="12.25390625" style="8" customWidth="1"/>
    <col min="13" max="13" width="6.00390625" style="8" customWidth="1"/>
    <col min="14" max="14" width="10.25390625" style="8" customWidth="1"/>
    <col min="15" max="16" width="12.25390625" style="8" customWidth="1"/>
    <col min="17" max="17" width="9.25390625" style="8" customWidth="1"/>
    <col min="18" max="22" width="12.25390625" style="8" customWidth="1"/>
    <col min="23" max="23" width="0" style="8" hidden="1" customWidth="1"/>
    <col min="24" max="16384" width="12.25390625" style="8" customWidth="1"/>
  </cols>
  <sheetData>
    <row r="1" spans="1:24" ht="18.75">
      <c r="A1" s="897" t="s">
        <v>41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</row>
    <row r="2" spans="1:24" ht="15.75">
      <c r="A2" s="898" t="s">
        <v>39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</row>
    <row r="3" spans="1:24" ht="15.75">
      <c r="A3" s="898" t="s">
        <v>430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</row>
    <row r="4" spans="1:2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</row>
    <row r="5" spans="1:24" ht="12.75" customHeight="1">
      <c r="A5" s="11" t="s">
        <v>45</v>
      </c>
      <c r="B5" s="947" t="s">
        <v>46</v>
      </c>
      <c r="C5" s="911" t="s">
        <v>47</v>
      </c>
      <c r="D5" s="912"/>
      <c r="E5" s="912"/>
      <c r="F5" s="912"/>
      <c r="G5" s="912"/>
      <c r="H5" s="912"/>
      <c r="I5" s="913"/>
      <c r="J5" s="902" t="s">
        <v>48</v>
      </c>
      <c r="K5" s="903"/>
      <c r="L5" s="903"/>
      <c r="M5" s="902" t="s">
        <v>49</v>
      </c>
      <c r="N5" s="903"/>
      <c r="O5" s="903"/>
      <c r="P5" s="911" t="s">
        <v>50</v>
      </c>
      <c r="Q5" s="912"/>
      <c r="R5" s="912"/>
      <c r="S5" s="913"/>
      <c r="T5" s="953" t="s">
        <v>51</v>
      </c>
      <c r="U5" s="954"/>
      <c r="V5" s="954"/>
      <c r="W5" s="947" t="s">
        <v>52</v>
      </c>
      <c r="X5" s="939" t="s">
        <v>431</v>
      </c>
    </row>
    <row r="6" spans="1:24" ht="12.75">
      <c r="A6" s="552" t="s">
        <v>53</v>
      </c>
      <c r="B6" s="948"/>
      <c r="C6" s="958" t="s">
        <v>54</v>
      </c>
      <c r="D6" s="959" t="s">
        <v>105</v>
      </c>
      <c r="E6" s="960"/>
      <c r="F6" s="951" t="s">
        <v>55</v>
      </c>
      <c r="G6" s="951" t="s">
        <v>56</v>
      </c>
      <c r="H6" s="955" t="s">
        <v>432</v>
      </c>
      <c r="I6" s="951" t="s">
        <v>353</v>
      </c>
      <c r="J6" s="957" t="s">
        <v>106</v>
      </c>
      <c r="K6" s="951" t="s">
        <v>55</v>
      </c>
      <c r="L6" s="951" t="s">
        <v>56</v>
      </c>
      <c r="M6" s="957" t="s">
        <v>106</v>
      </c>
      <c r="N6" s="951" t="s">
        <v>55</v>
      </c>
      <c r="O6" s="951" t="s">
        <v>56</v>
      </c>
      <c r="P6" s="947" t="s">
        <v>57</v>
      </c>
      <c r="Q6" s="942" t="s">
        <v>58</v>
      </c>
      <c r="R6" s="943"/>
      <c r="S6" s="946"/>
      <c r="T6" s="947" t="s">
        <v>57</v>
      </c>
      <c r="U6" s="942" t="s">
        <v>58</v>
      </c>
      <c r="V6" s="943"/>
      <c r="W6" s="948"/>
      <c r="X6" s="940"/>
    </row>
    <row r="7" spans="1:24" ht="21" customHeight="1">
      <c r="A7" s="552"/>
      <c r="B7" s="948"/>
      <c r="C7" s="958"/>
      <c r="D7" s="961"/>
      <c r="E7" s="962"/>
      <c r="F7" s="952"/>
      <c r="G7" s="952"/>
      <c r="H7" s="956"/>
      <c r="I7" s="952"/>
      <c r="J7" s="957"/>
      <c r="K7" s="952"/>
      <c r="L7" s="952"/>
      <c r="M7" s="957"/>
      <c r="N7" s="952"/>
      <c r="O7" s="952"/>
      <c r="P7" s="948"/>
      <c r="Q7" s="950" t="s">
        <v>59</v>
      </c>
      <c r="R7" s="950"/>
      <c r="S7" s="555" t="s">
        <v>105</v>
      </c>
      <c r="T7" s="948"/>
      <c r="U7" s="555" t="s">
        <v>59</v>
      </c>
      <c r="V7" s="555" t="s">
        <v>105</v>
      </c>
      <c r="W7" s="948"/>
      <c r="X7" s="940"/>
    </row>
    <row r="8" spans="1:24" ht="12.75">
      <c r="A8" s="12"/>
      <c r="B8" s="949"/>
      <c r="C8" s="958"/>
      <c r="D8" s="556" t="s">
        <v>60</v>
      </c>
      <c r="E8" s="557" t="s">
        <v>107</v>
      </c>
      <c r="F8" s="558" t="s">
        <v>61</v>
      </c>
      <c r="G8" s="558" t="s">
        <v>61</v>
      </c>
      <c r="H8" s="558" t="s">
        <v>61</v>
      </c>
      <c r="I8" s="559" t="s">
        <v>61</v>
      </c>
      <c r="J8" s="957"/>
      <c r="K8" s="558" t="s">
        <v>61</v>
      </c>
      <c r="L8" s="558" t="s">
        <v>61</v>
      </c>
      <c r="M8" s="957"/>
      <c r="N8" s="558" t="s">
        <v>61</v>
      </c>
      <c r="O8" s="553" t="s">
        <v>61</v>
      </c>
      <c r="P8" s="949"/>
      <c r="Q8" s="555" t="s">
        <v>62</v>
      </c>
      <c r="R8" s="555" t="s">
        <v>61</v>
      </c>
      <c r="S8" s="560" t="s">
        <v>61</v>
      </c>
      <c r="T8" s="949"/>
      <c r="U8" s="561" t="s">
        <v>61</v>
      </c>
      <c r="V8" s="560" t="s">
        <v>61</v>
      </c>
      <c r="W8" s="949"/>
      <c r="X8" s="941"/>
    </row>
    <row r="9" spans="1:27" s="564" customFormat="1" ht="12.75">
      <c r="A9" s="23">
        <v>1</v>
      </c>
      <c r="B9" s="24" t="s">
        <v>63</v>
      </c>
      <c r="C9" s="25">
        <f>'т.5 стр-во 2013'!J8</f>
        <v>5.519</v>
      </c>
      <c r="D9" s="26"/>
      <c r="E9" s="27"/>
      <c r="F9" s="27">
        <f>'т.5 стр-во 2013'!K8</f>
        <v>0</v>
      </c>
      <c r="G9" s="27">
        <f>'т.5 стр-во 2013'!L8</f>
        <v>16557</v>
      </c>
      <c r="H9" s="27">
        <f>'т.5 стр-во 2013'!M8</f>
        <v>47000</v>
      </c>
      <c r="I9" s="27">
        <f>'т.5 стр-во 2013'!M8</f>
        <v>47000</v>
      </c>
      <c r="J9" s="68">
        <f>'т.6 к.рем. 2013'!H7</f>
        <v>2.9</v>
      </c>
      <c r="K9" s="27">
        <f>'т.6 к.рем. 2013'!I7</f>
        <v>0</v>
      </c>
      <c r="L9" s="27">
        <f>'т.6 к.рем. 2013'!J7</f>
        <v>23860</v>
      </c>
      <c r="M9" s="29">
        <f>'т.7 рем.2013'!F12</f>
        <v>5</v>
      </c>
      <c r="N9" s="27">
        <f>'т.7 рем.2013'!G12</f>
        <v>20000</v>
      </c>
      <c r="O9" s="28">
        <f>'т.7 рем.2013'!H12</f>
        <v>8623.1</v>
      </c>
      <c r="P9" s="562">
        <f aca="true" t="shared" si="0" ref="P9:P42">R9+S9</f>
        <v>9499.8</v>
      </c>
      <c r="Q9" s="72">
        <f aca="true" t="shared" si="1" ref="Q9:Q38">R9/662.16</f>
        <v>13.893620877129393</v>
      </c>
      <c r="R9" s="43">
        <v>9199.8</v>
      </c>
      <c r="S9" s="70">
        <v>300</v>
      </c>
      <c r="T9" s="69">
        <f aca="true" t="shared" si="2" ref="T9:T42">U9+V9</f>
        <v>41831.8</v>
      </c>
      <c r="U9" s="72">
        <v>41683.3</v>
      </c>
      <c r="V9" s="563">
        <v>148.5</v>
      </c>
      <c r="W9" s="32"/>
      <c r="X9" s="33">
        <f aca="true" t="shared" si="3" ref="X9:X38">F9+G9+K9+L9+N9+O9+P9+T9+W9+I9</f>
        <v>167371.7</v>
      </c>
      <c r="Z9" s="564">
        <v>41831.8</v>
      </c>
      <c r="AA9" s="565">
        <f>Z9-T9</f>
        <v>0</v>
      </c>
    </row>
    <row r="10" spans="1:27" s="564" customFormat="1" ht="12.75">
      <c r="A10" s="35">
        <v>2</v>
      </c>
      <c r="B10" s="36" t="s">
        <v>64</v>
      </c>
      <c r="C10" s="25">
        <f>'т.5 стр-во 2013'!J12</f>
        <v>0</v>
      </c>
      <c r="D10" s="37"/>
      <c r="E10" s="27"/>
      <c r="F10" s="27">
        <f>'т.5 стр-во 2013'!K12</f>
        <v>0</v>
      </c>
      <c r="G10" s="27">
        <f>'т.5 стр-во 2013'!L12</f>
        <v>0</v>
      </c>
      <c r="H10" s="28">
        <f>'т.5 стр-во 2013'!M12</f>
        <v>0</v>
      </c>
      <c r="I10" s="27">
        <f>'т.5 стр-во 2013'!M12</f>
        <v>0</v>
      </c>
      <c r="J10" s="25">
        <f>'т.6 к.рем. 2013'!H10</f>
        <v>1.8</v>
      </c>
      <c r="K10" s="27">
        <f>'т.6 к.рем. 2013'!I10</f>
        <v>0</v>
      </c>
      <c r="L10" s="27">
        <f>'т.6 к.рем. 2013'!J10</f>
        <v>29375.8</v>
      </c>
      <c r="M10" s="29"/>
      <c r="N10" s="27"/>
      <c r="O10" s="28"/>
      <c r="P10" s="71">
        <f t="shared" si="0"/>
        <v>10743.3</v>
      </c>
      <c r="Q10" s="43">
        <f t="shared" si="1"/>
        <v>15.847076235350972</v>
      </c>
      <c r="R10" s="43">
        <v>10493.3</v>
      </c>
      <c r="S10" s="74">
        <v>250</v>
      </c>
      <c r="T10" s="71">
        <f t="shared" si="2"/>
        <v>50473</v>
      </c>
      <c r="U10" s="27">
        <f>49712.8+484</f>
        <v>50196.8</v>
      </c>
      <c r="V10" s="28">
        <v>276.2</v>
      </c>
      <c r="W10" s="32"/>
      <c r="X10" s="33">
        <f t="shared" si="3"/>
        <v>90592.1</v>
      </c>
      <c r="Z10" s="564">
        <v>50473</v>
      </c>
      <c r="AA10" s="565">
        <f aca="true" t="shared" si="4" ref="AA10:AA38">Z10-T10</f>
        <v>0</v>
      </c>
    </row>
    <row r="11" spans="1:27" s="564" customFormat="1" ht="12.75">
      <c r="A11" s="35">
        <v>3</v>
      </c>
      <c r="B11" s="38" t="s">
        <v>65</v>
      </c>
      <c r="C11" s="25">
        <f>'т.5 стр-во 2013'!J14</f>
        <v>4</v>
      </c>
      <c r="D11" s="37"/>
      <c r="E11" s="27"/>
      <c r="F11" s="27">
        <f>'т.5 стр-во 2013'!K14</f>
        <v>0</v>
      </c>
      <c r="G11" s="27">
        <f>'т.5 стр-во 2013'!L14</f>
        <v>12000</v>
      </c>
      <c r="H11" s="28">
        <f>'т.5 стр-во 2013'!M14</f>
        <v>20000</v>
      </c>
      <c r="I11" s="30">
        <f>'т.5 стр-во 2013'!M14</f>
        <v>20000</v>
      </c>
      <c r="J11" s="25">
        <f>'т.6 к.рем. 2013'!H14</f>
        <v>0</v>
      </c>
      <c r="K11" s="27">
        <f>'т.6 к.рем. 2013'!I14</f>
        <v>0</v>
      </c>
      <c r="L11" s="27">
        <f>'т.6 к.рем. 2013'!J14</f>
        <v>0</v>
      </c>
      <c r="M11" s="29">
        <f>'т.7 рем.2013'!F8</f>
        <v>2.6</v>
      </c>
      <c r="N11" s="27">
        <f>'т.7 рем.2013'!G8</f>
        <v>0</v>
      </c>
      <c r="O11" s="28">
        <f>'т.7 рем.2013'!H8</f>
        <v>22331.8</v>
      </c>
      <c r="P11" s="71">
        <f t="shared" si="0"/>
        <v>8973.8</v>
      </c>
      <c r="Q11" s="43">
        <f t="shared" si="1"/>
        <v>10.909447867584875</v>
      </c>
      <c r="R11" s="43">
        <v>7223.8</v>
      </c>
      <c r="S11" s="74">
        <f>2000-250</f>
        <v>1750</v>
      </c>
      <c r="T11" s="71">
        <f t="shared" si="2"/>
        <v>34306</v>
      </c>
      <c r="U11" s="27">
        <v>32702.8</v>
      </c>
      <c r="V11" s="28">
        <f>1832.2-229</f>
        <v>1603.2</v>
      </c>
      <c r="W11" s="32"/>
      <c r="X11" s="33">
        <f t="shared" si="3"/>
        <v>97611.6</v>
      </c>
      <c r="Z11" s="564">
        <v>34306</v>
      </c>
      <c r="AA11" s="565">
        <f t="shared" si="4"/>
        <v>0</v>
      </c>
    </row>
    <row r="12" spans="1:27" s="564" customFormat="1" ht="12.75">
      <c r="A12" s="35">
        <v>4</v>
      </c>
      <c r="B12" s="36" t="s">
        <v>66</v>
      </c>
      <c r="C12" s="25">
        <f>'т.5 стр-во 2013'!J17</f>
        <v>0</v>
      </c>
      <c r="D12" s="37"/>
      <c r="E12" s="27"/>
      <c r="F12" s="27">
        <f>'т.5 стр-во 2013'!K17</f>
        <v>0</v>
      </c>
      <c r="G12" s="27">
        <f>'т.5 стр-во 2013'!L17</f>
        <v>0</v>
      </c>
      <c r="H12" s="28">
        <f>'т.5 стр-во 2013'!M17</f>
        <v>0</v>
      </c>
      <c r="I12" s="30">
        <f>'т.5 стр-во 2013'!M17</f>
        <v>0</v>
      </c>
      <c r="J12" s="25">
        <f>'т.6 к.рем. 2013'!H18</f>
        <v>3.3</v>
      </c>
      <c r="K12" s="27">
        <f>'т.6 к.рем. 2013'!I18</f>
        <v>0</v>
      </c>
      <c r="L12" s="27">
        <f>'т.6 к.рем. 2013'!J18</f>
        <v>23029.1</v>
      </c>
      <c r="M12" s="29">
        <f>'т.7 рем.2013'!F16</f>
        <v>0</v>
      </c>
      <c r="N12" s="27">
        <f>'т.7 рем.2013'!G16</f>
        <v>0</v>
      </c>
      <c r="O12" s="28">
        <f>'т.7 рем.2013'!H16</f>
        <v>0</v>
      </c>
      <c r="P12" s="71">
        <f t="shared" si="0"/>
        <v>12951.7</v>
      </c>
      <c r="Q12" s="43">
        <f t="shared" si="1"/>
        <v>14.274042527485806</v>
      </c>
      <c r="R12" s="43">
        <v>9451.7</v>
      </c>
      <c r="S12" s="74">
        <v>3500</v>
      </c>
      <c r="T12" s="71">
        <f t="shared" si="2"/>
        <v>45183.3</v>
      </c>
      <c r="U12" s="27">
        <v>42206.3</v>
      </c>
      <c r="V12" s="28">
        <f>2977.2-0.2</f>
        <v>2977</v>
      </c>
      <c r="W12" s="32"/>
      <c r="X12" s="33">
        <f t="shared" si="3"/>
        <v>81164.1</v>
      </c>
      <c r="Z12" s="564">
        <v>45183.3</v>
      </c>
      <c r="AA12" s="565">
        <f t="shared" si="4"/>
        <v>0</v>
      </c>
    </row>
    <row r="13" spans="1:27" s="564" customFormat="1" ht="12.75">
      <c r="A13" s="35">
        <v>5</v>
      </c>
      <c r="B13" s="36" t="s">
        <v>67</v>
      </c>
      <c r="C13" s="25">
        <f>'т.5 стр-во 2013'!J20</f>
        <v>4.2</v>
      </c>
      <c r="D13" s="37"/>
      <c r="E13" s="27"/>
      <c r="F13" s="27">
        <f>'т.5 стр-во 2013'!K20</f>
        <v>0</v>
      </c>
      <c r="G13" s="27">
        <f>'т.5 стр-во 2013'!L20</f>
        <v>12600</v>
      </c>
      <c r="H13" s="28">
        <f>'т.5 стр-во 2013'!M20</f>
        <v>22000</v>
      </c>
      <c r="I13" s="30">
        <f>'т.5 стр-во 2013'!M20</f>
        <v>22000</v>
      </c>
      <c r="J13" s="25"/>
      <c r="K13" s="27"/>
      <c r="L13" s="27"/>
      <c r="M13" s="29">
        <f>'т.7 рем.2013'!F18</f>
        <v>7.2</v>
      </c>
      <c r="N13" s="27">
        <f>'т.7 рем.2013'!G18</f>
        <v>28000</v>
      </c>
      <c r="O13" s="28">
        <f>'т.7 рем.2013'!H18</f>
        <v>19283.3</v>
      </c>
      <c r="P13" s="71">
        <f t="shared" si="0"/>
        <v>9388</v>
      </c>
      <c r="Q13" s="43">
        <f t="shared" si="1"/>
        <v>13.839857436269181</v>
      </c>
      <c r="R13" s="43">
        <v>9164.2</v>
      </c>
      <c r="S13" s="74">
        <f>250-26.2</f>
        <v>223.8</v>
      </c>
      <c r="T13" s="71">
        <f t="shared" si="2"/>
        <v>41840.8</v>
      </c>
      <c r="U13" s="27">
        <v>41541.4</v>
      </c>
      <c r="V13" s="28">
        <f>334.5-35.1</f>
        <v>299.4</v>
      </c>
      <c r="W13" s="32"/>
      <c r="X13" s="33">
        <f t="shared" si="3"/>
        <v>133112.1</v>
      </c>
      <c r="Z13" s="564">
        <v>41840.8</v>
      </c>
      <c r="AA13" s="565">
        <f t="shared" si="4"/>
        <v>0</v>
      </c>
    </row>
    <row r="14" spans="1:27" s="564" customFormat="1" ht="12.75">
      <c r="A14" s="35">
        <v>6</v>
      </c>
      <c r="B14" s="36" t="s">
        <v>68</v>
      </c>
      <c r="C14" s="25">
        <f>'т.5 стр-во 2013'!J24</f>
        <v>0</v>
      </c>
      <c r="D14" s="37"/>
      <c r="E14" s="27"/>
      <c r="F14" s="27">
        <f>'т.5 стр-во 2013'!K24</f>
        <v>0</v>
      </c>
      <c r="G14" s="27">
        <f>'т.5 стр-во 2013'!L24</f>
        <v>0</v>
      </c>
      <c r="H14" s="28">
        <f>'т.5 стр-во 2013'!M24</f>
        <v>0</v>
      </c>
      <c r="I14" s="30">
        <f>'т.5 стр-во 2013'!M24</f>
        <v>0</v>
      </c>
      <c r="J14" s="25">
        <f>'т.6 к.рем. 2013'!H22</f>
        <v>2.7</v>
      </c>
      <c r="K14" s="27">
        <f>'т.6 к.рем. 2013'!I22</f>
        <v>26000</v>
      </c>
      <c r="L14" s="27">
        <f>'т.6 к.рем. 2013'!J22</f>
        <v>31957.5</v>
      </c>
      <c r="M14" s="29">
        <f>'т.7 рем.2013'!F23</f>
        <v>4.95</v>
      </c>
      <c r="N14" s="27">
        <f>'т.7 рем.2013'!G23</f>
        <v>42000</v>
      </c>
      <c r="O14" s="28">
        <f>'т.7 рем.2013'!H23</f>
        <v>0</v>
      </c>
      <c r="P14" s="71">
        <f t="shared" si="0"/>
        <v>12435.1</v>
      </c>
      <c r="Q14" s="43">
        <f t="shared" si="1"/>
        <v>16.346653376827355</v>
      </c>
      <c r="R14" s="43">
        <v>10824.1</v>
      </c>
      <c r="S14" s="74">
        <f>1800-189</f>
        <v>1611</v>
      </c>
      <c r="T14" s="71">
        <f t="shared" si="2"/>
        <v>50682.2</v>
      </c>
      <c r="U14" s="27">
        <v>49114.5</v>
      </c>
      <c r="V14" s="28">
        <f>1751.7-184</f>
        <v>1567.7</v>
      </c>
      <c r="W14" s="32"/>
      <c r="X14" s="33">
        <f t="shared" si="3"/>
        <v>163074.8</v>
      </c>
      <c r="Z14" s="564">
        <v>50682.2</v>
      </c>
      <c r="AA14" s="565">
        <f t="shared" si="4"/>
        <v>0</v>
      </c>
    </row>
    <row r="15" spans="1:27" s="564" customFormat="1" ht="12.75">
      <c r="A15" s="35">
        <v>7</v>
      </c>
      <c r="B15" s="36" t="s">
        <v>69</v>
      </c>
      <c r="C15" s="25">
        <f>'т.5 стр-во 2013'!J26</f>
        <v>4.03</v>
      </c>
      <c r="D15" s="37"/>
      <c r="E15" s="27"/>
      <c r="F15" s="27">
        <f>'т.5 стр-во 2013'!K26</f>
        <v>0</v>
      </c>
      <c r="G15" s="27">
        <f>'т.5 стр-во 2013'!L26</f>
        <v>54342.3</v>
      </c>
      <c r="H15" s="28">
        <f>'т.5 стр-во 2013'!M26</f>
        <v>0</v>
      </c>
      <c r="I15" s="30">
        <f>'т.5 стр-во 2013'!M26</f>
        <v>0</v>
      </c>
      <c r="J15" s="25">
        <f>'т.6 к.рем. 2013'!H28</f>
        <v>0</v>
      </c>
      <c r="K15" s="27">
        <f>'т.6 к.рем. 2013'!I28</f>
        <v>0</v>
      </c>
      <c r="L15" s="27">
        <f>'т.6 к.рем. 2013'!J28</f>
        <v>0</v>
      </c>
      <c r="M15" s="29">
        <f>'т.7 рем.2013'!F25</f>
        <v>5.2</v>
      </c>
      <c r="N15" s="27">
        <f>'т.7 рем.2013'!G25</f>
        <v>15000</v>
      </c>
      <c r="O15" s="28">
        <f>'т.7 рем.2013'!H25</f>
        <v>28677.3</v>
      </c>
      <c r="P15" s="71">
        <f t="shared" si="0"/>
        <v>19155.5</v>
      </c>
      <c r="Q15" s="43">
        <f t="shared" si="1"/>
        <v>20.365923643832307</v>
      </c>
      <c r="R15" s="43">
        <v>13485.5</v>
      </c>
      <c r="S15" s="74">
        <f>7000-1330</f>
        <v>5670</v>
      </c>
      <c r="T15" s="71">
        <f t="shared" si="2"/>
        <v>69788.6</v>
      </c>
      <c r="U15" s="27">
        <v>66422.6</v>
      </c>
      <c r="V15" s="28">
        <f>4155.6-789.6</f>
        <v>3366.0000000000005</v>
      </c>
      <c r="W15" s="32"/>
      <c r="X15" s="33">
        <f t="shared" si="3"/>
        <v>186963.7</v>
      </c>
      <c r="Z15" s="564">
        <v>69788.6</v>
      </c>
      <c r="AA15" s="565">
        <f t="shared" si="4"/>
        <v>0</v>
      </c>
    </row>
    <row r="16" spans="1:27" s="564" customFormat="1" ht="12.75">
      <c r="A16" s="35">
        <v>8</v>
      </c>
      <c r="B16" s="36" t="s">
        <v>70</v>
      </c>
      <c r="C16" s="25">
        <f>'т.5 стр-во 2013'!J29</f>
        <v>0.6</v>
      </c>
      <c r="D16" s="37"/>
      <c r="E16" s="27"/>
      <c r="F16" s="27">
        <f>'т.5 стр-во 2013'!K29</f>
        <v>0</v>
      </c>
      <c r="G16" s="27">
        <f>'т.5 стр-во 2013'!L29</f>
        <v>1800</v>
      </c>
      <c r="H16" s="28">
        <f>'т.5 стр-во 2013'!M29</f>
        <v>6000</v>
      </c>
      <c r="I16" s="30">
        <f>'т.5 стр-во 2013'!M29</f>
        <v>6000</v>
      </c>
      <c r="J16" s="25">
        <f>'т.6 к.рем. 2013'!H33</f>
        <v>6.6</v>
      </c>
      <c r="K16" s="27">
        <f>'т.6 к.рем. 2013'!I33</f>
        <v>43400</v>
      </c>
      <c r="L16" s="27">
        <f>'т.6 к.рем. 2013'!J33</f>
        <v>21600</v>
      </c>
      <c r="M16" s="29">
        <f>'т.7 рем.2013'!F32</f>
        <v>21</v>
      </c>
      <c r="N16" s="27">
        <f>'т.7 рем.2013'!G32</f>
        <v>39000</v>
      </c>
      <c r="O16" s="28">
        <f>'т.7 рем.2013'!H32</f>
        <v>6474.7</v>
      </c>
      <c r="P16" s="71">
        <f t="shared" si="0"/>
        <v>16101.7</v>
      </c>
      <c r="Q16" s="43">
        <f t="shared" si="1"/>
        <v>21.296514437598166</v>
      </c>
      <c r="R16" s="43">
        <v>14101.7</v>
      </c>
      <c r="S16" s="74">
        <v>2000</v>
      </c>
      <c r="T16" s="71">
        <f t="shared" si="2"/>
        <v>86194</v>
      </c>
      <c r="U16" s="27">
        <f>80205.7+3179.6</f>
        <v>83385.3</v>
      </c>
      <c r="V16" s="28">
        <f>2808.7</f>
        <v>2808.7</v>
      </c>
      <c r="W16" s="32"/>
      <c r="X16" s="33">
        <f t="shared" si="3"/>
        <v>220570.4</v>
      </c>
      <c r="Z16" s="564">
        <v>86194</v>
      </c>
      <c r="AA16" s="565">
        <f t="shared" si="4"/>
        <v>0</v>
      </c>
    </row>
    <row r="17" spans="1:27" s="564" customFormat="1" ht="12.75">
      <c r="A17" s="35">
        <v>9</v>
      </c>
      <c r="B17" s="36" t="s">
        <v>71</v>
      </c>
      <c r="C17" s="25"/>
      <c r="D17" s="37"/>
      <c r="E17" s="27"/>
      <c r="F17" s="27"/>
      <c r="G17" s="27"/>
      <c r="H17" s="28"/>
      <c r="I17" s="30"/>
      <c r="J17" s="25">
        <f>'т.6 к.рем. 2013'!H40</f>
        <v>1.8</v>
      </c>
      <c r="K17" s="27">
        <f>'т.6 к.рем. 2013'!I40</f>
        <v>12600.000000000002</v>
      </c>
      <c r="L17" s="27">
        <f>'т.6 к.рем. 2013'!J40</f>
        <v>13387.8</v>
      </c>
      <c r="M17" s="29">
        <f>'т.7 рем.2013'!F36</f>
        <v>1.5</v>
      </c>
      <c r="N17" s="27">
        <f>'т.7 рем.2013'!G36</f>
        <v>28000</v>
      </c>
      <c r="O17" s="28">
        <f>'т.7 рем.2013'!H36</f>
        <v>0</v>
      </c>
      <c r="P17" s="71">
        <f t="shared" si="0"/>
        <v>20988.6</v>
      </c>
      <c r="Q17" s="43">
        <f t="shared" si="1"/>
        <v>13.176875679594058</v>
      </c>
      <c r="R17" s="43">
        <v>8725.2</v>
      </c>
      <c r="S17" s="74">
        <f>2500+9763.4</f>
        <v>12263.4</v>
      </c>
      <c r="T17" s="71">
        <f t="shared" si="2"/>
        <v>41397.399999999994</v>
      </c>
      <c r="U17" s="27">
        <v>39501.2</v>
      </c>
      <c r="V17" s="28">
        <f>1896.2</f>
        <v>1896.2</v>
      </c>
      <c r="W17" s="32"/>
      <c r="X17" s="33">
        <f t="shared" si="3"/>
        <v>116373.79999999999</v>
      </c>
      <c r="Z17" s="564">
        <v>41397.4</v>
      </c>
      <c r="AA17" s="565">
        <f t="shared" si="4"/>
        <v>0</v>
      </c>
    </row>
    <row r="18" spans="1:27" s="564" customFormat="1" ht="12.75">
      <c r="A18" s="35">
        <v>10</v>
      </c>
      <c r="B18" s="36" t="s">
        <v>72</v>
      </c>
      <c r="C18" s="25">
        <f>'т.5 стр-во 2013'!J34</f>
        <v>0</v>
      </c>
      <c r="D18" s="37"/>
      <c r="E18" s="27"/>
      <c r="F18" s="27">
        <f>'т.5 стр-во 2013'!K34</f>
        <v>0</v>
      </c>
      <c r="G18" s="27">
        <f>'т.5 стр-во 2013'!L34</f>
        <v>0</v>
      </c>
      <c r="H18" s="28">
        <f>'т.5 стр-во 2013'!M34</f>
        <v>0</v>
      </c>
      <c r="I18" s="30">
        <f>'т.5 стр-во 2013'!M34</f>
        <v>0</v>
      </c>
      <c r="J18" s="25">
        <f>'т.6 к.рем. 2013'!H44</f>
        <v>5.48</v>
      </c>
      <c r="K18" s="27">
        <f>'т.6 к.рем. 2013'!I44</f>
        <v>0</v>
      </c>
      <c r="L18" s="27">
        <f>'т.6 к.рем. 2013'!J44</f>
        <v>51498.8</v>
      </c>
      <c r="M18" s="29">
        <f>'т.7 рем.2013'!F39</f>
        <v>3.5</v>
      </c>
      <c r="N18" s="27">
        <f>'т.7 рем.2013'!G39</f>
        <v>28000</v>
      </c>
      <c r="O18" s="28">
        <f>'т.7 рем.2013'!H39</f>
        <v>0</v>
      </c>
      <c r="P18" s="71">
        <f t="shared" si="0"/>
        <v>21152.9</v>
      </c>
      <c r="Q18" s="43">
        <f t="shared" si="1"/>
        <v>18.353419113205266</v>
      </c>
      <c r="R18" s="43">
        <v>12152.9</v>
      </c>
      <c r="S18" s="74">
        <v>9000</v>
      </c>
      <c r="T18" s="71">
        <f t="shared" si="2"/>
        <v>88552.5</v>
      </c>
      <c r="U18" s="27">
        <v>82945.7</v>
      </c>
      <c r="V18" s="28">
        <f>5606.9-0.1</f>
        <v>5606.799999999999</v>
      </c>
      <c r="W18" s="32"/>
      <c r="X18" s="33">
        <f t="shared" si="3"/>
        <v>189204.2</v>
      </c>
      <c r="Z18" s="564">
        <v>88552.5</v>
      </c>
      <c r="AA18" s="565">
        <f t="shared" si="4"/>
        <v>0</v>
      </c>
    </row>
    <row r="19" spans="1:27" s="564" customFormat="1" ht="12.75">
      <c r="A19" s="35">
        <v>11</v>
      </c>
      <c r="B19" s="36" t="s">
        <v>73</v>
      </c>
      <c r="C19" s="25">
        <f>'т.5 стр-во 2013'!J36</f>
        <v>4.5</v>
      </c>
      <c r="D19" s="37"/>
      <c r="E19" s="27"/>
      <c r="F19" s="27">
        <f>'т.5 стр-во 2013'!K36</f>
        <v>0</v>
      </c>
      <c r="G19" s="27">
        <f>'т.5 стр-во 2013'!L36</f>
        <v>13500</v>
      </c>
      <c r="H19" s="28">
        <f>'т.5 стр-во 2013'!M36</f>
        <v>18000</v>
      </c>
      <c r="I19" s="30">
        <f>'т.5 стр-во 2013'!M36</f>
        <v>18000</v>
      </c>
      <c r="J19" s="25">
        <f>'т.6 к.рем. 2013'!H49</f>
        <v>0</v>
      </c>
      <c r="K19" s="27">
        <f>'т.6 к.рем. 2013'!I49</f>
        <v>0</v>
      </c>
      <c r="L19" s="27">
        <f>'т.6 к.рем. 2013'!J49</f>
        <v>0</v>
      </c>
      <c r="M19" s="29">
        <f>'т.7 рем.2013'!F41</f>
        <v>3</v>
      </c>
      <c r="N19" s="27">
        <f>'т.7 рем.2013'!G41</f>
        <v>0</v>
      </c>
      <c r="O19" s="28">
        <f>'т.7 рем.2013'!H41</f>
        <v>20000</v>
      </c>
      <c r="P19" s="71">
        <f t="shared" si="0"/>
        <v>9512.6</v>
      </c>
      <c r="Q19" s="43">
        <f t="shared" si="1"/>
        <v>10.59049172405461</v>
      </c>
      <c r="R19" s="43">
        <v>7012.6</v>
      </c>
      <c r="S19" s="74">
        <v>2500</v>
      </c>
      <c r="T19" s="71">
        <f t="shared" si="2"/>
        <v>36474.4</v>
      </c>
      <c r="U19" s="27">
        <v>34559.4</v>
      </c>
      <c r="V19" s="28">
        <v>1915</v>
      </c>
      <c r="W19" s="32"/>
      <c r="X19" s="33">
        <f t="shared" si="3"/>
        <v>97487</v>
      </c>
      <c r="Z19" s="564">
        <v>36474.4</v>
      </c>
      <c r="AA19" s="565">
        <f t="shared" si="4"/>
        <v>0</v>
      </c>
    </row>
    <row r="20" spans="1:27" s="564" customFormat="1" ht="12.75">
      <c r="A20" s="35">
        <v>12</v>
      </c>
      <c r="B20" s="36" t="s">
        <v>74</v>
      </c>
      <c r="C20" s="25">
        <f>'т.5 стр-во 2013'!J40</f>
        <v>0</v>
      </c>
      <c r="D20" s="37"/>
      <c r="E20" s="27"/>
      <c r="F20" s="27">
        <f>'т.5 стр-во 2013'!K40</f>
        <v>0</v>
      </c>
      <c r="G20" s="27">
        <f>'т.5 стр-во 2013'!L40</f>
        <v>0</v>
      </c>
      <c r="H20" s="28">
        <f>'т.5 стр-во 2013'!M40</f>
        <v>0</v>
      </c>
      <c r="I20" s="30">
        <f>'т.5 стр-во 2013'!M40</f>
        <v>0</v>
      </c>
      <c r="J20" s="25">
        <f>'т.6 к.рем. 2013'!H49</f>
        <v>0</v>
      </c>
      <c r="K20" s="27">
        <f>'т.6 к.рем. 2013'!I49</f>
        <v>0</v>
      </c>
      <c r="L20" s="27">
        <f>'т.6 к.рем. 2013'!J49</f>
        <v>0</v>
      </c>
      <c r="M20" s="29">
        <f>'т.7 рем.2013'!F43</f>
        <v>9.7</v>
      </c>
      <c r="N20" s="27">
        <f>'т.7 рем.2013'!G43</f>
        <v>56000</v>
      </c>
      <c r="O20" s="28">
        <f>'т.7 рем.2013'!H43</f>
        <v>12216.1</v>
      </c>
      <c r="P20" s="71">
        <f t="shared" si="0"/>
        <v>13228.8</v>
      </c>
      <c r="Q20" s="43">
        <f t="shared" si="1"/>
        <v>12.4272079255769</v>
      </c>
      <c r="R20" s="43">
        <v>8228.8</v>
      </c>
      <c r="S20" s="74">
        <v>5000</v>
      </c>
      <c r="T20" s="71">
        <f t="shared" si="2"/>
        <v>56164.2</v>
      </c>
      <c r="U20" s="27">
        <v>54673.7</v>
      </c>
      <c r="V20" s="28">
        <f>1490.6-0.1</f>
        <v>1490.5</v>
      </c>
      <c r="W20" s="32"/>
      <c r="X20" s="33">
        <f t="shared" si="3"/>
        <v>137609.1</v>
      </c>
      <c r="Z20" s="564">
        <v>56164.2</v>
      </c>
      <c r="AA20" s="565">
        <f t="shared" si="4"/>
        <v>0</v>
      </c>
    </row>
    <row r="21" spans="1:27" s="564" customFormat="1" ht="12.75">
      <c r="A21" s="35">
        <v>13</v>
      </c>
      <c r="B21" s="36" t="s">
        <v>75</v>
      </c>
      <c r="C21" s="25">
        <f>'т.5 стр-во 2013'!J42</f>
        <v>3.8</v>
      </c>
      <c r="D21" s="37">
        <v>1</v>
      </c>
      <c r="E21" s="27"/>
      <c r="F21" s="27">
        <f>'т.5 стр-во 2013'!K42</f>
        <v>75000</v>
      </c>
      <c r="G21" s="27">
        <f>'т.5 стр-во 2013'!L42</f>
        <v>11400</v>
      </c>
      <c r="H21" s="28">
        <f>'т.5 стр-во 2013'!M42</f>
        <v>18000</v>
      </c>
      <c r="I21" s="30">
        <f>'т.5 стр-во 2013'!M42</f>
        <v>18000</v>
      </c>
      <c r="J21" s="25">
        <f>'т.6 к.рем. 2013'!H51</f>
        <v>4</v>
      </c>
      <c r="K21" s="27">
        <f>'т.6 к.рем. 2013'!I51</f>
        <v>0</v>
      </c>
      <c r="L21" s="27">
        <f>'т.6 к.рем. 2013'!J51</f>
        <v>29711.7</v>
      </c>
      <c r="M21" s="29">
        <f>'т.7 рем.2013'!F48</f>
        <v>6.3</v>
      </c>
      <c r="N21" s="27">
        <f>'т.7 рем.2013'!G48</f>
        <v>48409.9</v>
      </c>
      <c r="O21" s="28">
        <f>'т.7 рем.2013'!H48</f>
        <v>0</v>
      </c>
      <c r="P21" s="71">
        <f t="shared" si="0"/>
        <v>13421.7</v>
      </c>
      <c r="Q21" s="43">
        <f t="shared" si="1"/>
        <v>18.02313640207805</v>
      </c>
      <c r="R21" s="43">
        <v>11934.2</v>
      </c>
      <c r="S21" s="74">
        <f>2500-1012.5</f>
        <v>1487.5</v>
      </c>
      <c r="T21" s="71">
        <f t="shared" si="2"/>
        <v>72291.9</v>
      </c>
      <c r="U21" s="27">
        <v>71449.9</v>
      </c>
      <c r="V21" s="28">
        <f>1415-573</f>
        <v>842</v>
      </c>
      <c r="W21" s="32"/>
      <c r="X21" s="33">
        <f t="shared" si="3"/>
        <v>268235.2</v>
      </c>
      <c r="Z21" s="564">
        <v>72291.9</v>
      </c>
      <c r="AA21" s="565">
        <f t="shared" si="4"/>
        <v>0</v>
      </c>
    </row>
    <row r="22" spans="1:27" s="564" customFormat="1" ht="12.75">
      <c r="A22" s="35">
        <v>14</v>
      </c>
      <c r="B22" s="36" t="s">
        <v>76</v>
      </c>
      <c r="C22" s="25">
        <f>'т.5 стр-во 2013'!J46</f>
        <v>0</v>
      </c>
      <c r="D22" s="37"/>
      <c r="E22" s="27"/>
      <c r="F22" s="27">
        <f>'т.5 стр-во 2013'!K46</f>
        <v>0</v>
      </c>
      <c r="G22" s="27">
        <f>'т.5 стр-во 2013'!L46</f>
        <v>0</v>
      </c>
      <c r="H22" s="28">
        <f>'т.5 стр-во 2013'!M46</f>
        <v>0</v>
      </c>
      <c r="I22" s="30">
        <f>'т.5 стр-во 2013'!M46</f>
        <v>0</v>
      </c>
      <c r="J22" s="25">
        <f>'т.6 к.рем. 2013'!H54</f>
        <v>1.7</v>
      </c>
      <c r="K22" s="27">
        <f>'т.6 к.рем. 2013'!I54</f>
        <v>4000</v>
      </c>
      <c r="L22" s="27">
        <f>'т.6 к.рем. 2013'!J54</f>
        <v>51712.1</v>
      </c>
      <c r="M22" s="29">
        <f>'т.7 рем.2013'!F53</f>
        <v>4.1</v>
      </c>
      <c r="N22" s="27">
        <f>'т.7 рем.2013'!G53</f>
        <v>28000</v>
      </c>
      <c r="O22" s="28">
        <f>'т.7 рем.2013'!H53</f>
        <v>0</v>
      </c>
      <c r="P22" s="71">
        <f t="shared" si="0"/>
        <v>20665.1</v>
      </c>
      <c r="Q22" s="43">
        <f t="shared" si="1"/>
        <v>21.39226168901776</v>
      </c>
      <c r="R22" s="43">
        <v>14165.1</v>
      </c>
      <c r="S22" s="74">
        <v>6500</v>
      </c>
      <c r="T22" s="71">
        <f t="shared" si="2"/>
        <v>78934.9</v>
      </c>
      <c r="U22" s="27">
        <v>76648.4</v>
      </c>
      <c r="V22" s="28">
        <v>2286.5</v>
      </c>
      <c r="W22" s="32"/>
      <c r="X22" s="33">
        <f t="shared" si="3"/>
        <v>183312.1</v>
      </c>
      <c r="Z22" s="564">
        <v>78934.9</v>
      </c>
      <c r="AA22" s="565">
        <f t="shared" si="4"/>
        <v>0</v>
      </c>
    </row>
    <row r="23" spans="1:27" s="564" customFormat="1" ht="12.75">
      <c r="A23" s="35">
        <v>15</v>
      </c>
      <c r="B23" s="36" t="s">
        <v>77</v>
      </c>
      <c r="C23" s="25">
        <f>'т.5 стр-во 2013'!J48</f>
        <v>0</v>
      </c>
      <c r="D23" s="37"/>
      <c r="E23" s="27"/>
      <c r="F23" s="27">
        <f>'т.5 стр-во 2013'!K48</f>
        <v>0</v>
      </c>
      <c r="G23" s="27">
        <f>'т.5 стр-во 2013'!L48</f>
        <v>0</v>
      </c>
      <c r="H23" s="28">
        <f>'т.5 стр-во 2013'!M48</f>
        <v>0</v>
      </c>
      <c r="I23" s="30">
        <f>'т.5 стр-во 2013'!M48</f>
        <v>0</v>
      </c>
      <c r="J23" s="25">
        <f>'т.6 к.рем. 2013'!H61</f>
        <v>5.2</v>
      </c>
      <c r="K23" s="27">
        <f>'т.6 к.рем. 2013'!I61</f>
        <v>0</v>
      </c>
      <c r="L23" s="27">
        <f>'т.6 к.рем. 2013'!J61</f>
        <v>44507.3</v>
      </c>
      <c r="M23" s="29">
        <f>'т.7 рем.2013'!F56</f>
        <v>1.9</v>
      </c>
      <c r="N23" s="27">
        <f>'т.7 рем.2013'!G56</f>
        <v>22172.8</v>
      </c>
      <c r="O23" s="28">
        <f>'т.7 рем.2013'!H56</f>
        <v>0</v>
      </c>
      <c r="P23" s="71">
        <f t="shared" si="0"/>
        <v>12091.7</v>
      </c>
      <c r="Q23" s="43">
        <f t="shared" si="1"/>
        <v>17.807931617735896</v>
      </c>
      <c r="R23" s="43">
        <v>11791.7</v>
      </c>
      <c r="S23" s="74">
        <v>300</v>
      </c>
      <c r="T23" s="71">
        <f t="shared" si="2"/>
        <v>53512.600000000006</v>
      </c>
      <c r="U23" s="27">
        <v>53446.8</v>
      </c>
      <c r="V23" s="28">
        <v>65.8</v>
      </c>
      <c r="W23" s="32"/>
      <c r="X23" s="33">
        <f t="shared" si="3"/>
        <v>132284.40000000002</v>
      </c>
      <c r="Z23" s="564">
        <v>53512.6</v>
      </c>
      <c r="AA23" s="565">
        <f t="shared" si="4"/>
        <v>0</v>
      </c>
    </row>
    <row r="24" spans="1:27" s="564" customFormat="1" ht="12.75">
      <c r="A24" s="35">
        <v>16</v>
      </c>
      <c r="B24" s="36" t="s">
        <v>78</v>
      </c>
      <c r="C24" s="25">
        <f>'т.5 стр-во 2013'!J52</f>
        <v>0</v>
      </c>
      <c r="D24" s="37"/>
      <c r="E24" s="27"/>
      <c r="F24" s="27">
        <f>'т.5 стр-во 2013'!K52</f>
        <v>0</v>
      </c>
      <c r="G24" s="27">
        <f>'т.5 стр-во 2013'!L52</f>
        <v>0</v>
      </c>
      <c r="H24" s="28">
        <f>'т.5 стр-во 2013'!M52</f>
        <v>0</v>
      </c>
      <c r="I24" s="30">
        <f>'т.5 стр-во 2013'!M52</f>
        <v>0</v>
      </c>
      <c r="J24" s="25">
        <f>'т.6 к.рем. 2013'!H63</f>
        <v>2</v>
      </c>
      <c r="K24" s="27">
        <f>'т.6 к.рем. 2013'!I63</f>
        <v>0</v>
      </c>
      <c r="L24" s="27">
        <f>'т.6 к.рем. 2013'!J63</f>
        <v>46545.3</v>
      </c>
      <c r="M24" s="29"/>
      <c r="N24" s="27"/>
      <c r="O24" s="28"/>
      <c r="P24" s="71">
        <f t="shared" si="0"/>
        <v>20671.7</v>
      </c>
      <c r="Q24" s="43">
        <f t="shared" si="1"/>
        <v>13.096079497402442</v>
      </c>
      <c r="R24" s="43">
        <v>8671.7</v>
      </c>
      <c r="S24" s="74">
        <v>12000</v>
      </c>
      <c r="T24" s="71">
        <f t="shared" si="2"/>
        <v>42890.4</v>
      </c>
      <c r="U24" s="27">
        <v>39349.4</v>
      </c>
      <c r="V24" s="28">
        <f>3562.5-21.5</f>
        <v>3541</v>
      </c>
      <c r="W24" s="32"/>
      <c r="X24" s="33">
        <f t="shared" si="3"/>
        <v>110107.4</v>
      </c>
      <c r="Z24" s="564">
        <v>42890.4</v>
      </c>
      <c r="AA24" s="565">
        <f t="shared" si="4"/>
        <v>0</v>
      </c>
    </row>
    <row r="25" spans="1:27" s="564" customFormat="1" ht="12.75">
      <c r="A25" s="35">
        <v>17</v>
      </c>
      <c r="B25" s="36" t="s">
        <v>79</v>
      </c>
      <c r="C25" s="25"/>
      <c r="D25" s="37"/>
      <c r="E25" s="27"/>
      <c r="F25" s="27"/>
      <c r="G25" s="27"/>
      <c r="H25" s="28"/>
      <c r="I25" s="30"/>
      <c r="J25" s="25">
        <f>'т.6 к.рем. 2013'!H73</f>
        <v>5.1</v>
      </c>
      <c r="K25" s="27">
        <f>'т.6 к.рем. 2013'!I73</f>
        <v>35391.1</v>
      </c>
      <c r="L25" s="27">
        <f>'т.6 к.рем. 2013'!J73</f>
        <v>16554.9</v>
      </c>
      <c r="M25" s="29">
        <f>'т.7 рем.2013'!F58</f>
        <v>1.2</v>
      </c>
      <c r="N25" s="27">
        <f>'т.7 рем.2013'!G58</f>
        <v>17000</v>
      </c>
      <c r="O25" s="28">
        <f>'т.7 рем.2013'!H58</f>
        <v>0</v>
      </c>
      <c r="P25" s="71">
        <f t="shared" si="0"/>
        <v>16842.5</v>
      </c>
      <c r="Q25" s="43">
        <f t="shared" si="1"/>
        <v>19.394859248519996</v>
      </c>
      <c r="R25" s="43">
        <v>12842.5</v>
      </c>
      <c r="S25" s="74">
        <v>4000</v>
      </c>
      <c r="T25" s="71">
        <f t="shared" si="2"/>
        <v>66110.7</v>
      </c>
      <c r="U25" s="27">
        <v>64599</v>
      </c>
      <c r="V25" s="28">
        <v>1511.7</v>
      </c>
      <c r="W25" s="32"/>
      <c r="X25" s="33">
        <f t="shared" si="3"/>
        <v>151899.2</v>
      </c>
      <c r="Z25" s="564">
        <v>66110.7</v>
      </c>
      <c r="AA25" s="565">
        <f t="shared" si="4"/>
        <v>0</v>
      </c>
    </row>
    <row r="26" spans="1:27" s="564" customFormat="1" ht="12.75">
      <c r="A26" s="35">
        <v>18</v>
      </c>
      <c r="B26" s="36" t="s">
        <v>80</v>
      </c>
      <c r="C26" s="25"/>
      <c r="D26" s="37"/>
      <c r="E26" s="27"/>
      <c r="F26" s="27"/>
      <c r="G26" s="27"/>
      <c r="H26" s="28"/>
      <c r="I26" s="30"/>
      <c r="J26" s="25">
        <f>'т.6 к.рем. 2013'!H79</f>
        <v>0</v>
      </c>
      <c r="K26" s="27">
        <f>'т.6 к.рем. 2013'!I79</f>
        <v>0</v>
      </c>
      <c r="L26" s="27">
        <f>'т.6 к.рем. 2013'!J79</f>
        <v>10000</v>
      </c>
      <c r="M26" s="29">
        <f>'т.7 рем.2013'!F61</f>
        <v>1.2</v>
      </c>
      <c r="N26" s="27">
        <f>'т.7 рем.2013'!G61</f>
        <v>0</v>
      </c>
      <c r="O26" s="28">
        <f>'т.7 рем.2013'!H61</f>
        <v>8499.9</v>
      </c>
      <c r="P26" s="71">
        <f t="shared" si="0"/>
        <v>21872.199999999997</v>
      </c>
      <c r="Q26" s="43">
        <f t="shared" si="1"/>
        <v>19.360728524827838</v>
      </c>
      <c r="R26" s="43">
        <f>7819.9+5000</f>
        <v>12819.9</v>
      </c>
      <c r="S26" s="74">
        <f>10404.8-1352.5</f>
        <v>9052.3</v>
      </c>
      <c r="T26" s="71">
        <f t="shared" si="2"/>
        <v>36256.9</v>
      </c>
      <c r="U26" s="27">
        <v>35432.4</v>
      </c>
      <c r="V26" s="28">
        <f>947.6-123.1</f>
        <v>824.5</v>
      </c>
      <c r="W26" s="32"/>
      <c r="X26" s="33">
        <f t="shared" si="3"/>
        <v>76629</v>
      </c>
      <c r="Z26" s="564">
        <v>36256.9</v>
      </c>
      <c r="AA26" s="565">
        <f t="shared" si="4"/>
        <v>0</v>
      </c>
    </row>
    <row r="27" spans="1:27" s="564" customFormat="1" ht="12.75">
      <c r="A27" s="35">
        <v>19</v>
      </c>
      <c r="B27" s="36" t="s">
        <v>81</v>
      </c>
      <c r="C27" s="25">
        <f>'т.5 стр-во 2013'!J56</f>
        <v>4.27</v>
      </c>
      <c r="D27" s="37"/>
      <c r="E27" s="27"/>
      <c r="F27" s="27">
        <f>'т.5 стр-во 2013'!K56</f>
        <v>0</v>
      </c>
      <c r="G27" s="27">
        <f>'т.5 стр-во 2013'!L56</f>
        <v>1173000</v>
      </c>
      <c r="H27" s="28">
        <f>'т.5 стр-во 2013'!M56</f>
        <v>20000</v>
      </c>
      <c r="I27" s="30">
        <f>'т.5 стр-во 2013'!M56</f>
        <v>20000</v>
      </c>
      <c r="J27" s="25">
        <f>'т.6 к.рем. 2013'!H83</f>
        <v>0</v>
      </c>
      <c r="K27" s="27">
        <f>'т.6 к.рем. 2013'!I83</f>
        <v>0</v>
      </c>
      <c r="L27" s="27">
        <f>'т.6 к.рем. 2013'!J83</f>
        <v>0</v>
      </c>
      <c r="M27" s="29">
        <f>'т.7 рем.2013'!F63</f>
        <v>12.020000000000001</v>
      </c>
      <c r="N27" s="27">
        <f>'т.7 рем.2013'!G63</f>
        <v>64500</v>
      </c>
      <c r="O27" s="28">
        <f>'т.7 рем.2013'!H63</f>
        <v>19772.3</v>
      </c>
      <c r="P27" s="71">
        <f t="shared" si="0"/>
        <v>48996</v>
      </c>
      <c r="Q27" s="43">
        <f t="shared" si="1"/>
        <v>70.62945511658813</v>
      </c>
      <c r="R27" s="43">
        <v>46768</v>
      </c>
      <c r="S27" s="74">
        <f>3000-772</f>
        <v>2228</v>
      </c>
      <c r="T27" s="71">
        <f t="shared" si="2"/>
        <v>234495.30000000002</v>
      </c>
      <c r="U27" s="27">
        <f>197717.7+25519.6+232+6959.6+400-98.2-484+582.2</f>
        <v>230828.90000000002</v>
      </c>
      <c r="V27" s="28">
        <f>4936.2-1269.8</f>
        <v>3666.3999999999996</v>
      </c>
      <c r="W27" s="32"/>
      <c r="X27" s="33">
        <f t="shared" si="3"/>
        <v>1560763.6</v>
      </c>
      <c r="Z27" s="564">
        <v>234495.3</v>
      </c>
      <c r="AA27" s="565">
        <f t="shared" si="4"/>
        <v>0</v>
      </c>
    </row>
    <row r="28" spans="1:27" s="564" customFormat="1" ht="12.75">
      <c r="A28" s="35">
        <v>20</v>
      </c>
      <c r="B28" s="36" t="s">
        <v>82</v>
      </c>
      <c r="C28" s="25">
        <f>'т.5 стр-во 2013'!J63</f>
        <v>10.49</v>
      </c>
      <c r="D28" s="37"/>
      <c r="E28" s="27"/>
      <c r="F28" s="27">
        <f>'т.5 стр-во 2013'!K63</f>
        <v>312197.03</v>
      </c>
      <c r="G28" s="27">
        <f>'т.5 стр-во 2013'!L63</f>
        <v>0</v>
      </c>
      <c r="H28" s="28">
        <f>'т.5 стр-во 2013'!M63</f>
        <v>0</v>
      </c>
      <c r="I28" s="30">
        <f>'т.5 стр-во 2013'!M63</f>
        <v>0</v>
      </c>
      <c r="J28" s="25">
        <f>'т.6 к.рем. 2013'!H85</f>
        <v>2</v>
      </c>
      <c r="K28" s="27">
        <f>'т.6 к.рем. 2013'!I85</f>
        <v>0</v>
      </c>
      <c r="L28" s="27">
        <f>'т.6 к.рем. 2013'!J85</f>
        <v>24727.6</v>
      </c>
      <c r="M28" s="29">
        <f>'т.7 рем.2013'!F71</f>
        <v>3.2</v>
      </c>
      <c r="N28" s="27">
        <f>'т.7 рем.2013'!G71</f>
        <v>28000</v>
      </c>
      <c r="O28" s="28">
        <f>'т.7 рем.2013'!H71</f>
        <v>0</v>
      </c>
      <c r="P28" s="71">
        <f t="shared" si="0"/>
        <v>22360.5</v>
      </c>
      <c r="Q28" s="43">
        <f t="shared" si="1"/>
        <v>28.037785429503444</v>
      </c>
      <c r="R28" s="43">
        <v>18565.5</v>
      </c>
      <c r="S28" s="74">
        <f>4000-205</f>
        <v>3795</v>
      </c>
      <c r="T28" s="71">
        <f t="shared" si="2"/>
        <v>125573.56999999999</v>
      </c>
      <c r="U28" s="27">
        <f>117603.7+3695.9+167.07</f>
        <v>121466.67</v>
      </c>
      <c r="V28" s="28">
        <f>4199.7-92.8</f>
        <v>4106.9</v>
      </c>
      <c r="W28" s="32"/>
      <c r="X28" s="33">
        <f t="shared" si="3"/>
        <v>512858.7</v>
      </c>
      <c r="Z28" s="564">
        <v>125406.5</v>
      </c>
      <c r="AA28" s="565">
        <f t="shared" si="4"/>
        <v>-167.06999999999243</v>
      </c>
    </row>
    <row r="29" spans="1:27" s="564" customFormat="1" ht="12.75">
      <c r="A29" s="35">
        <v>21</v>
      </c>
      <c r="B29" s="36" t="s">
        <v>83</v>
      </c>
      <c r="C29" s="25">
        <f>'т.5 стр-во 2013'!J67</f>
        <v>0</v>
      </c>
      <c r="D29" s="37"/>
      <c r="E29" s="27"/>
      <c r="F29" s="27">
        <f>'т.5 стр-во 2013'!K67</f>
        <v>0</v>
      </c>
      <c r="G29" s="27">
        <f>'т.5 стр-во 2013'!L67</f>
        <v>0</v>
      </c>
      <c r="H29" s="28">
        <f>'т.5 стр-во 2013'!M67</f>
        <v>0</v>
      </c>
      <c r="I29" s="30">
        <f>'т.5 стр-во 2013'!M67</f>
        <v>0</v>
      </c>
      <c r="J29" s="25">
        <f>'т.6 к.рем. 2013'!H87</f>
        <v>7</v>
      </c>
      <c r="K29" s="27">
        <f>'т.6 к.рем. 2013'!I87</f>
        <v>70000</v>
      </c>
      <c r="L29" s="27">
        <f>'т.6 к.рем. 2013'!J87</f>
        <v>21600</v>
      </c>
      <c r="M29" s="29">
        <f>'т.7 рем.2013'!F77</f>
        <v>0</v>
      </c>
      <c r="N29" s="27">
        <f>'т.7 рем.2013'!G77</f>
        <v>0</v>
      </c>
      <c r="O29" s="28">
        <f>'т.7 рем.2013'!H77</f>
        <v>5000</v>
      </c>
      <c r="P29" s="71">
        <f t="shared" si="0"/>
        <v>17408</v>
      </c>
      <c r="Q29" s="43">
        <f t="shared" si="1"/>
        <v>13.452941887157182</v>
      </c>
      <c r="R29" s="43">
        <v>8908</v>
      </c>
      <c r="S29" s="74">
        <v>8500</v>
      </c>
      <c r="T29" s="71">
        <f t="shared" si="2"/>
        <v>43133.3</v>
      </c>
      <c r="U29" s="27">
        <v>40381.5</v>
      </c>
      <c r="V29" s="28">
        <f>2754.2-2.4</f>
        <v>2751.7999999999997</v>
      </c>
      <c r="W29" s="32"/>
      <c r="X29" s="33">
        <f t="shared" si="3"/>
        <v>157141.3</v>
      </c>
      <c r="Z29" s="564">
        <v>43133.3</v>
      </c>
      <c r="AA29" s="565">
        <f t="shared" si="4"/>
        <v>0</v>
      </c>
    </row>
    <row r="30" spans="1:27" s="564" customFormat="1" ht="12.75">
      <c r="A30" s="35">
        <v>22</v>
      </c>
      <c r="B30" s="36" t="s">
        <v>84</v>
      </c>
      <c r="C30" s="25">
        <f>'т.5 стр-во 2013'!J69</f>
        <v>2.18</v>
      </c>
      <c r="D30" s="37">
        <v>1</v>
      </c>
      <c r="E30" s="27"/>
      <c r="F30" s="27">
        <f>'т.5 стр-во 2013'!K69</f>
        <v>59328</v>
      </c>
      <c r="G30" s="27">
        <f>'т.5 стр-во 2013'!L69</f>
        <v>0</v>
      </c>
      <c r="H30" s="28">
        <f>'т.5 стр-во 2013'!M69</f>
        <v>0</v>
      </c>
      <c r="I30" s="30">
        <f>'т.5 стр-во 2013'!M69</f>
        <v>0</v>
      </c>
      <c r="J30" s="25">
        <f>'т.6 к.рем. 2013'!H92</f>
        <v>1.2</v>
      </c>
      <c r="K30" s="27">
        <f>'т.6 к.рем. 2013'!I92</f>
        <v>0</v>
      </c>
      <c r="L30" s="27">
        <f>'т.6 к.рем. 2013'!J92</f>
        <v>20464.5</v>
      </c>
      <c r="M30" s="29">
        <f>'т.7 рем.2013'!F74</f>
        <v>5.4</v>
      </c>
      <c r="N30" s="27">
        <f>'т.7 рем.2013'!G74</f>
        <v>28000</v>
      </c>
      <c r="O30" s="28">
        <f>'т.7 рем.2013'!H74</f>
        <v>9796.8</v>
      </c>
      <c r="P30" s="71">
        <f t="shared" si="0"/>
        <v>11278.4</v>
      </c>
      <c r="Q30" s="43">
        <f t="shared" si="1"/>
        <v>14.631509000845718</v>
      </c>
      <c r="R30" s="43">
        <v>9688.4</v>
      </c>
      <c r="S30" s="74">
        <f>2000-410</f>
        <v>1590</v>
      </c>
      <c r="T30" s="71">
        <f t="shared" si="2"/>
        <v>46126.5</v>
      </c>
      <c r="U30" s="27">
        <v>43732.8</v>
      </c>
      <c r="V30" s="28">
        <f>3010.9-617.2</f>
        <v>2393.7</v>
      </c>
      <c r="W30" s="32"/>
      <c r="X30" s="33">
        <f t="shared" si="3"/>
        <v>174994.2</v>
      </c>
      <c r="Z30" s="564">
        <v>46126.5</v>
      </c>
      <c r="AA30" s="565">
        <f t="shared" si="4"/>
        <v>0</v>
      </c>
    </row>
    <row r="31" spans="1:27" s="564" customFormat="1" ht="12.75">
      <c r="A31" s="35">
        <v>23</v>
      </c>
      <c r="B31" s="36" t="s">
        <v>85</v>
      </c>
      <c r="C31" s="25">
        <f>'т.5 стр-во 2013'!J72</f>
        <v>3.4</v>
      </c>
      <c r="D31" s="37"/>
      <c r="E31" s="27"/>
      <c r="F31" s="27">
        <f>'т.5 стр-во 2013'!K72</f>
        <v>0</v>
      </c>
      <c r="G31" s="27">
        <f>'т.5 стр-во 2013'!L72</f>
        <v>10200</v>
      </c>
      <c r="H31" s="28">
        <f>'т.5 стр-во 2013'!M72</f>
        <v>19273</v>
      </c>
      <c r="I31" s="30">
        <f>'т.5 стр-во 2013'!M72</f>
        <v>19273</v>
      </c>
      <c r="J31" s="25">
        <f>'т.6 к.рем. 2013'!H96</f>
        <v>6.9</v>
      </c>
      <c r="K31" s="27">
        <f>'т.6 к.рем. 2013'!I96</f>
        <v>0</v>
      </c>
      <c r="L31" s="27">
        <f>'т.6 к.рем. 2013'!J96</f>
        <v>41277.8</v>
      </c>
      <c r="M31" s="29">
        <f>'т.7 рем.2013'!F80</f>
        <v>3.9</v>
      </c>
      <c r="N31" s="27">
        <f>'т.7 рем.2013'!G80</f>
        <v>28000</v>
      </c>
      <c r="O31" s="28">
        <f>'т.7 рем.2013'!H80</f>
        <v>0</v>
      </c>
      <c r="P31" s="71">
        <f t="shared" si="0"/>
        <v>17454.7</v>
      </c>
      <c r="Q31" s="43">
        <f t="shared" si="1"/>
        <v>26.058203455358225</v>
      </c>
      <c r="R31" s="43">
        <v>17254.7</v>
      </c>
      <c r="S31" s="74">
        <v>200</v>
      </c>
      <c r="T31" s="71">
        <f t="shared" si="2"/>
        <v>78568.4</v>
      </c>
      <c r="U31" s="27">
        <v>78055.5</v>
      </c>
      <c r="V31" s="28">
        <v>512.9</v>
      </c>
      <c r="W31" s="32"/>
      <c r="X31" s="33">
        <f t="shared" si="3"/>
        <v>194773.9</v>
      </c>
      <c r="Z31" s="564">
        <v>78568.4</v>
      </c>
      <c r="AA31" s="565">
        <f t="shared" si="4"/>
        <v>0</v>
      </c>
    </row>
    <row r="32" spans="1:27" s="564" customFormat="1" ht="12.75">
      <c r="A32" s="35">
        <v>24</v>
      </c>
      <c r="B32" s="36" t="s">
        <v>86</v>
      </c>
      <c r="C32" s="25">
        <f>'т.5 стр-во 2013'!J75</f>
        <v>0</v>
      </c>
      <c r="D32" s="37"/>
      <c r="E32" s="27"/>
      <c r="F32" s="27">
        <f>'т.5 стр-во 2013'!K75</f>
        <v>0</v>
      </c>
      <c r="G32" s="27">
        <f>'т.5 стр-во 2013'!L75</f>
        <v>0</v>
      </c>
      <c r="H32" s="28">
        <f>'т.5 стр-во 2013'!M75</f>
        <v>0</v>
      </c>
      <c r="I32" s="30">
        <f>'т.5 стр-во 2013'!M75</f>
        <v>0</v>
      </c>
      <c r="J32" s="25">
        <f>'т.6 к.рем. 2013'!H100</f>
        <v>0</v>
      </c>
      <c r="K32" s="27">
        <f>'т.6 к.рем. 2013'!I100</f>
        <v>0</v>
      </c>
      <c r="L32" s="27">
        <f>'т.6 к.рем. 2013'!J100</f>
        <v>0</v>
      </c>
      <c r="M32" s="29">
        <f>'т.7 рем.2013'!F82</f>
        <v>13.1</v>
      </c>
      <c r="N32" s="27">
        <f>'т.7 рем.2013'!G82</f>
        <v>63195.3</v>
      </c>
      <c r="O32" s="28">
        <f>'т.7 рем.2013'!H82</f>
        <v>30495</v>
      </c>
      <c r="P32" s="71">
        <f t="shared" si="0"/>
        <v>37025.7</v>
      </c>
      <c r="Q32" s="43">
        <f t="shared" si="1"/>
        <v>40.965476621964484</v>
      </c>
      <c r="R32" s="43">
        <v>27125.7</v>
      </c>
      <c r="S32" s="74">
        <f>10000-100</f>
        <v>9900</v>
      </c>
      <c r="T32" s="71">
        <f t="shared" si="2"/>
        <v>158810.2</v>
      </c>
      <c r="U32" s="27">
        <v>154534.7</v>
      </c>
      <c r="V32" s="28">
        <f>4318.6-43.1</f>
        <v>4275.5</v>
      </c>
      <c r="W32" s="32"/>
      <c r="X32" s="33">
        <f t="shared" si="3"/>
        <v>289526.2</v>
      </c>
      <c r="Z32" s="564">
        <v>158810.2</v>
      </c>
      <c r="AA32" s="565">
        <f t="shared" si="4"/>
        <v>0</v>
      </c>
    </row>
    <row r="33" spans="1:27" s="564" customFormat="1" ht="12.75">
      <c r="A33" s="35">
        <v>25</v>
      </c>
      <c r="B33" s="36" t="s">
        <v>87</v>
      </c>
      <c r="C33" s="25">
        <f>'т.5 стр-во 2013'!J77</f>
        <v>1.6</v>
      </c>
      <c r="D33" s="37"/>
      <c r="E33" s="27"/>
      <c r="F33" s="27">
        <f>'т.5 стр-во 2013'!K77</f>
        <v>0</v>
      </c>
      <c r="G33" s="27">
        <f>'т.5 стр-во 2013'!L77</f>
        <v>4800</v>
      </c>
      <c r="H33" s="28">
        <f>'т.5 стр-во 2013'!M77</f>
        <v>16000</v>
      </c>
      <c r="I33" s="30">
        <f>'т.5 стр-во 2013'!M77</f>
        <v>16000</v>
      </c>
      <c r="J33" s="25">
        <f>'т.6 к.рем. 2013'!H104</f>
        <v>2.16</v>
      </c>
      <c r="K33" s="27">
        <f>'т.6 к.рем. 2013'!I104</f>
        <v>0</v>
      </c>
      <c r="L33" s="27">
        <f>'т.6 к.рем. 2013'!J104</f>
        <v>48399.1</v>
      </c>
      <c r="M33" s="29"/>
      <c r="N33" s="27"/>
      <c r="O33" s="28"/>
      <c r="P33" s="71">
        <f t="shared" si="0"/>
        <v>8552.4</v>
      </c>
      <c r="Q33" s="43">
        <f t="shared" si="1"/>
        <v>11.254681647940075</v>
      </c>
      <c r="R33" s="43">
        <v>7452.4</v>
      </c>
      <c r="S33" s="74">
        <v>1100</v>
      </c>
      <c r="T33" s="71">
        <f t="shared" si="2"/>
        <v>33897.799999999996</v>
      </c>
      <c r="U33" s="27">
        <f>33007.7+98.2</f>
        <v>33105.899999999994</v>
      </c>
      <c r="V33" s="28">
        <f>925.9-134</f>
        <v>791.9</v>
      </c>
      <c r="W33" s="32"/>
      <c r="X33" s="33">
        <f t="shared" si="3"/>
        <v>111649.29999999999</v>
      </c>
      <c r="Z33" s="564">
        <v>33897.8</v>
      </c>
      <c r="AA33" s="565">
        <f t="shared" si="4"/>
        <v>0</v>
      </c>
    </row>
    <row r="34" spans="1:27" s="564" customFormat="1" ht="12.75">
      <c r="A34" s="35">
        <v>26</v>
      </c>
      <c r="B34" s="36" t="s">
        <v>88</v>
      </c>
      <c r="C34" s="25">
        <f>'т.5 стр-во 2013'!J79</f>
        <v>0.4</v>
      </c>
      <c r="D34" s="37"/>
      <c r="E34" s="27"/>
      <c r="F34" s="27">
        <f>'т.5 стр-во 2013'!K79</f>
        <v>0</v>
      </c>
      <c r="G34" s="27">
        <f>'т.5 стр-во 2013'!L79</f>
        <v>1200</v>
      </c>
      <c r="H34" s="28">
        <f>'т.5 стр-во 2013'!M79</f>
        <v>3000</v>
      </c>
      <c r="I34" s="30">
        <f>'т.5 стр-во 2013'!M79</f>
        <v>3000</v>
      </c>
      <c r="J34" s="25">
        <f>'т.6 к.рем. 2013'!H108</f>
        <v>4.45</v>
      </c>
      <c r="K34" s="27">
        <f>'т.6 к.рем. 2013'!I108</f>
        <v>0</v>
      </c>
      <c r="L34" s="27">
        <f>'т.6 к.рем. 2013'!J108</f>
        <v>33089.3</v>
      </c>
      <c r="M34" s="29">
        <f>'т.7 рем.2013'!F89</f>
        <v>4.1</v>
      </c>
      <c r="N34" s="27">
        <f>'т.7 рем.2013'!G89</f>
        <v>28000</v>
      </c>
      <c r="O34" s="28">
        <f>'т.7 рем.2013'!H89</f>
        <v>0</v>
      </c>
      <c r="P34" s="71">
        <f t="shared" si="0"/>
        <v>16142.5</v>
      </c>
      <c r="Q34" s="43">
        <f t="shared" si="1"/>
        <v>16.827503926543436</v>
      </c>
      <c r="R34" s="43">
        <v>11142.5</v>
      </c>
      <c r="S34" s="74">
        <v>5000</v>
      </c>
      <c r="T34" s="71">
        <f t="shared" si="2"/>
        <v>52474.9</v>
      </c>
      <c r="U34" s="27">
        <v>50553.6</v>
      </c>
      <c r="V34" s="28">
        <v>1921.3</v>
      </c>
      <c r="W34" s="32"/>
      <c r="X34" s="33">
        <f t="shared" si="3"/>
        <v>133906.7</v>
      </c>
      <c r="Z34" s="564">
        <v>52474.9</v>
      </c>
      <c r="AA34" s="565">
        <f t="shared" si="4"/>
        <v>0</v>
      </c>
    </row>
    <row r="35" spans="1:27" s="564" customFormat="1" ht="12.75">
      <c r="A35" s="35">
        <v>27</v>
      </c>
      <c r="B35" s="36" t="s">
        <v>89</v>
      </c>
      <c r="C35" s="25"/>
      <c r="D35" s="37"/>
      <c r="E35" s="27"/>
      <c r="F35" s="27"/>
      <c r="G35" s="27"/>
      <c r="H35" s="28"/>
      <c r="I35" s="30"/>
      <c r="J35" s="25">
        <f>'т.6 к.рем. 2013'!H111</f>
        <v>7.9</v>
      </c>
      <c r="K35" s="27">
        <f>'т.6 к.рем. 2013'!I111</f>
        <v>30000</v>
      </c>
      <c r="L35" s="27">
        <f>'т.6 к.рем. 2013'!J111</f>
        <v>38362.1</v>
      </c>
      <c r="M35" s="29">
        <f>'т.7 рем.2013'!F91</f>
        <v>0</v>
      </c>
      <c r="N35" s="27">
        <f>'т.7 рем.2013'!G91</f>
        <v>0</v>
      </c>
      <c r="O35" s="28">
        <f>'т.7 рем.2013'!H91</f>
        <v>0</v>
      </c>
      <c r="P35" s="71">
        <f t="shared" si="0"/>
        <v>12139.6</v>
      </c>
      <c r="Q35" s="43">
        <f t="shared" si="1"/>
        <v>15.312915307478557</v>
      </c>
      <c r="R35" s="43">
        <v>10139.6</v>
      </c>
      <c r="S35" s="74">
        <v>2000</v>
      </c>
      <c r="T35" s="71">
        <f t="shared" si="2"/>
        <v>47586.100000000006</v>
      </c>
      <c r="U35" s="27">
        <v>45965.3</v>
      </c>
      <c r="V35" s="28">
        <v>1620.8</v>
      </c>
      <c r="W35" s="32"/>
      <c r="X35" s="33">
        <f t="shared" si="3"/>
        <v>128087.80000000002</v>
      </c>
      <c r="Z35" s="564">
        <v>47586.1</v>
      </c>
      <c r="AA35" s="565">
        <f t="shared" si="4"/>
        <v>0</v>
      </c>
    </row>
    <row r="36" spans="1:27" s="564" customFormat="1" ht="12.75">
      <c r="A36" s="35">
        <v>28</v>
      </c>
      <c r="B36" s="36" t="s">
        <v>90</v>
      </c>
      <c r="C36" s="25">
        <f>'т.5 стр-во 2013'!J83</f>
        <v>0</v>
      </c>
      <c r="D36" s="37"/>
      <c r="E36" s="27"/>
      <c r="F36" s="27">
        <f>'т.5 стр-во 2013'!K83</f>
        <v>0</v>
      </c>
      <c r="G36" s="27">
        <f>'т.5 стр-во 2013'!L83</f>
        <v>0</v>
      </c>
      <c r="H36" s="28">
        <f>'т.5 стр-во 2013'!M83</f>
        <v>0</v>
      </c>
      <c r="I36" s="30">
        <f>'т.5 стр-во 2013'!M83</f>
        <v>0</v>
      </c>
      <c r="J36" s="25">
        <f>'т.6 к.рем. 2013'!H116</f>
        <v>2.58</v>
      </c>
      <c r="K36" s="27">
        <f>'т.6 к.рем. 2013'!I116</f>
        <v>0</v>
      </c>
      <c r="L36" s="27">
        <f>'т.6 к.рем. 2013'!J116</f>
        <v>19512.9</v>
      </c>
      <c r="M36" s="29">
        <f>'т.7 рем.2013'!F94</f>
        <v>2.9</v>
      </c>
      <c r="N36" s="27">
        <f>'т.7 рем.2013'!G94</f>
        <v>20000</v>
      </c>
      <c r="O36" s="28">
        <f>'т.7 рем.2013'!H94</f>
        <v>0</v>
      </c>
      <c r="P36" s="71">
        <f t="shared" si="0"/>
        <v>16309.3</v>
      </c>
      <c r="Q36" s="43">
        <f t="shared" si="1"/>
        <v>17.07940678989972</v>
      </c>
      <c r="R36" s="43">
        <v>11309.3</v>
      </c>
      <c r="S36" s="74">
        <v>5000</v>
      </c>
      <c r="T36" s="71">
        <f t="shared" si="2"/>
        <v>52829.8</v>
      </c>
      <c r="U36" s="27">
        <v>51227.9</v>
      </c>
      <c r="V36" s="28">
        <f>1602-0.1</f>
        <v>1601.9</v>
      </c>
      <c r="W36" s="32"/>
      <c r="X36" s="33">
        <f t="shared" si="3"/>
        <v>108652</v>
      </c>
      <c r="Z36" s="564">
        <v>52829.8</v>
      </c>
      <c r="AA36" s="565">
        <f t="shared" si="4"/>
        <v>0</v>
      </c>
    </row>
    <row r="37" spans="1:27" s="564" customFormat="1" ht="12.75">
      <c r="A37" s="35">
        <v>29</v>
      </c>
      <c r="B37" s="36" t="s">
        <v>91</v>
      </c>
      <c r="C37" s="25">
        <f>'т.5 стр-во 2013'!J85</f>
        <v>0</v>
      </c>
      <c r="D37" s="37"/>
      <c r="E37" s="27"/>
      <c r="F37" s="27">
        <f>'т.5 стр-во 2013'!K85</f>
        <v>0</v>
      </c>
      <c r="G37" s="27">
        <f>'т.5 стр-во 2013'!L85</f>
        <v>0</v>
      </c>
      <c r="H37" s="28">
        <f>'т.5 стр-во 2013'!M85</f>
        <v>0</v>
      </c>
      <c r="I37" s="30">
        <f>'т.5 стр-во 2013'!M85</f>
        <v>0</v>
      </c>
      <c r="J37" s="25">
        <f>'т.6 к.рем. 2013'!H122</f>
        <v>4</v>
      </c>
      <c r="K37" s="27">
        <f>'т.6 к.рем. 2013'!I122</f>
        <v>0</v>
      </c>
      <c r="L37" s="27">
        <f>'т.6 к.рем. 2013'!J122</f>
        <v>28144.9</v>
      </c>
      <c r="M37" s="29">
        <f>'т.7 рем.2013'!F96</f>
        <v>2.58</v>
      </c>
      <c r="N37" s="27">
        <f>'т.7 рем.2013'!G96</f>
        <v>18000</v>
      </c>
      <c r="O37" s="28">
        <f>'т.7 рем.2013'!H96</f>
        <v>0</v>
      </c>
      <c r="P37" s="71">
        <f t="shared" si="0"/>
        <v>9631.9</v>
      </c>
      <c r="Q37" s="43">
        <f t="shared" si="1"/>
        <v>14.54618219161532</v>
      </c>
      <c r="R37" s="43">
        <v>9631.9</v>
      </c>
      <c r="S37" s="74"/>
      <c r="T37" s="71">
        <f t="shared" si="2"/>
        <v>43627.1</v>
      </c>
      <c r="U37" s="27">
        <v>43627.1</v>
      </c>
      <c r="V37" s="28"/>
      <c r="W37" s="32"/>
      <c r="X37" s="33">
        <f t="shared" si="3"/>
        <v>99403.9</v>
      </c>
      <c r="Z37" s="564">
        <v>43627.1</v>
      </c>
      <c r="AA37" s="565">
        <f t="shared" si="4"/>
        <v>0</v>
      </c>
    </row>
    <row r="38" spans="1:27" s="564" customFormat="1" ht="12.75">
      <c r="A38" s="35">
        <v>30</v>
      </c>
      <c r="B38" s="36" t="s">
        <v>92</v>
      </c>
      <c r="C38" s="25">
        <f>'т.5 стр-во 2013'!J40</f>
        <v>0</v>
      </c>
      <c r="D38" s="37"/>
      <c r="E38" s="27"/>
      <c r="F38" s="27">
        <f>'т.5 стр-во 2013'!K40</f>
        <v>0</v>
      </c>
      <c r="G38" s="27">
        <f>'т.5 стр-во 2013'!L40</f>
        <v>0</v>
      </c>
      <c r="H38" s="28">
        <f>'т.5 стр-во 2013'!M40</f>
        <v>0</v>
      </c>
      <c r="I38" s="30">
        <f>'т.5 стр-во 2013'!M40</f>
        <v>0</v>
      </c>
      <c r="J38" s="25">
        <f>'т.6 к.рем. 2013'!H125</f>
        <v>0</v>
      </c>
      <c r="K38" s="27">
        <f>'т.6 к.рем. 2013'!I125</f>
        <v>0</v>
      </c>
      <c r="L38" s="27">
        <f>'т.6 к.рем. 2013'!J125</f>
        <v>0</v>
      </c>
      <c r="M38" s="29">
        <f>'т.7 рем.2013'!F98</f>
        <v>3.9699999999999998</v>
      </c>
      <c r="N38" s="27">
        <f>'т.7 рем.2013'!G98</f>
        <v>0</v>
      </c>
      <c r="O38" s="28">
        <f>'т.7 рем.2013'!H98</f>
        <v>25897.9</v>
      </c>
      <c r="P38" s="71">
        <f t="shared" si="0"/>
        <v>12110.1</v>
      </c>
      <c r="Q38" s="43">
        <f t="shared" si="1"/>
        <v>13.75815512866981</v>
      </c>
      <c r="R38" s="43">
        <v>9110.1</v>
      </c>
      <c r="S38" s="74">
        <v>3000</v>
      </c>
      <c r="T38" s="71">
        <f t="shared" si="2"/>
        <v>42684.5</v>
      </c>
      <c r="U38" s="27">
        <v>41042.9</v>
      </c>
      <c r="V38" s="28">
        <f>1641.7-0.1</f>
        <v>1641.6000000000001</v>
      </c>
      <c r="W38" s="32"/>
      <c r="X38" s="33">
        <f t="shared" si="3"/>
        <v>80692.5</v>
      </c>
      <c r="Y38" s="565"/>
      <c r="Z38" s="564">
        <v>42684.5</v>
      </c>
      <c r="AA38" s="565">
        <f t="shared" si="4"/>
        <v>0</v>
      </c>
    </row>
    <row r="39" spans="1:26" s="564" customFormat="1" ht="12.75" hidden="1">
      <c r="A39" s="549"/>
      <c r="B39" s="39" t="s">
        <v>93</v>
      </c>
      <c r="C39" s="40"/>
      <c r="D39" s="37"/>
      <c r="E39" s="27"/>
      <c r="F39" s="27"/>
      <c r="G39" s="27"/>
      <c r="H39" s="28"/>
      <c r="I39" s="30"/>
      <c r="J39" s="25"/>
      <c r="K39" s="27"/>
      <c r="L39" s="41"/>
      <c r="M39" s="29"/>
      <c r="N39" s="27"/>
      <c r="O39" s="28"/>
      <c r="P39" s="29">
        <f t="shared" si="0"/>
        <v>0</v>
      </c>
      <c r="Q39" s="27"/>
      <c r="R39" s="43"/>
      <c r="S39" s="30"/>
      <c r="T39" s="46">
        <f t="shared" si="2"/>
        <v>0</v>
      </c>
      <c r="U39" s="31"/>
      <c r="V39" s="31"/>
      <c r="W39" s="32"/>
      <c r="X39" s="33">
        <f>F39+G39+K39+L39+N39+O39++P39+T36:T39+W39</f>
        <v>0</v>
      </c>
      <c r="Y39" s="565"/>
      <c r="Z39" s="564">
        <v>15857.7</v>
      </c>
    </row>
    <row r="40" spans="1:24" s="564" customFormat="1" ht="12.75" hidden="1">
      <c r="A40" s="549"/>
      <c r="B40" s="39" t="s">
        <v>94</v>
      </c>
      <c r="C40" s="42"/>
      <c r="D40" s="37"/>
      <c r="E40" s="43"/>
      <c r="F40" s="43"/>
      <c r="G40" s="43"/>
      <c r="H40" s="44"/>
      <c r="I40" s="47"/>
      <c r="J40" s="49"/>
      <c r="K40" s="43"/>
      <c r="L40" s="45"/>
      <c r="M40" s="46"/>
      <c r="N40" s="27"/>
      <c r="O40" s="44"/>
      <c r="P40" s="29">
        <f t="shared" si="0"/>
        <v>0</v>
      </c>
      <c r="Q40" s="43"/>
      <c r="R40" s="43"/>
      <c r="S40" s="47"/>
      <c r="T40" s="29">
        <f t="shared" si="2"/>
        <v>0</v>
      </c>
      <c r="U40" s="48"/>
      <c r="V40" s="48"/>
      <c r="W40" s="3"/>
      <c r="X40" s="33">
        <f>F40+G40+K40+L40+N40+O40++P40+T37:T40+W40</f>
        <v>0</v>
      </c>
    </row>
    <row r="41" spans="1:24" s="564" customFormat="1" ht="12.75" hidden="1">
      <c r="A41" s="549"/>
      <c r="B41" s="39" t="s">
        <v>95</v>
      </c>
      <c r="C41" s="42"/>
      <c r="D41" s="37"/>
      <c r="E41" s="43"/>
      <c r="F41" s="43"/>
      <c r="G41" s="43"/>
      <c r="H41" s="44"/>
      <c r="I41" s="47"/>
      <c r="J41" s="49"/>
      <c r="K41" s="43"/>
      <c r="L41" s="45"/>
      <c r="M41" s="46"/>
      <c r="N41" s="27"/>
      <c r="O41" s="44"/>
      <c r="P41" s="29">
        <f t="shared" si="0"/>
        <v>0</v>
      </c>
      <c r="Q41" s="43"/>
      <c r="R41" s="43"/>
      <c r="S41" s="47"/>
      <c r="T41" s="29">
        <f t="shared" si="2"/>
        <v>0</v>
      </c>
      <c r="U41" s="48"/>
      <c r="V41" s="48"/>
      <c r="W41" s="3"/>
      <c r="X41" s="33">
        <f>F41+G41+K41+L41+N41+O41++P41+T38:T41+W41</f>
        <v>0</v>
      </c>
    </row>
    <row r="42" spans="1:24" s="564" customFormat="1" ht="12.75" hidden="1">
      <c r="A42" s="549"/>
      <c r="B42" s="39" t="s">
        <v>96</v>
      </c>
      <c r="C42" s="42"/>
      <c r="D42" s="37"/>
      <c r="E42" s="43"/>
      <c r="F42" s="43"/>
      <c r="G42" s="43"/>
      <c r="H42" s="44"/>
      <c r="I42" s="47"/>
      <c r="J42" s="49"/>
      <c r="K42" s="43"/>
      <c r="L42" s="45"/>
      <c r="M42" s="46"/>
      <c r="N42" s="27"/>
      <c r="O42" s="44"/>
      <c r="P42" s="29">
        <f t="shared" si="0"/>
        <v>0</v>
      </c>
      <c r="Q42" s="43"/>
      <c r="R42" s="43"/>
      <c r="S42" s="47"/>
      <c r="T42" s="29">
        <f t="shared" si="2"/>
        <v>0</v>
      </c>
      <c r="U42" s="48"/>
      <c r="V42" s="48"/>
      <c r="W42" s="3"/>
      <c r="X42" s="33">
        <f>F42+G42+K42+L42+N42+O42++P42+T39:T42+W42</f>
        <v>0</v>
      </c>
    </row>
    <row r="43" spans="1:24" s="564" customFormat="1" ht="12.75" hidden="1">
      <c r="A43" s="549"/>
      <c r="B43" s="39" t="s">
        <v>44</v>
      </c>
      <c r="C43" s="42"/>
      <c r="D43" s="37"/>
      <c r="E43" s="43"/>
      <c r="F43" s="43"/>
      <c r="G43" s="43"/>
      <c r="H43" s="44"/>
      <c r="I43" s="47"/>
      <c r="J43" s="49"/>
      <c r="K43" s="27"/>
      <c r="L43" s="41"/>
      <c r="M43" s="29"/>
      <c r="N43" s="27"/>
      <c r="O43" s="28"/>
      <c r="P43" s="29"/>
      <c r="Q43" s="27"/>
      <c r="R43" s="27"/>
      <c r="S43" s="30"/>
      <c r="T43" s="29"/>
      <c r="U43" s="31"/>
      <c r="V43" s="31"/>
      <c r="W43" s="32"/>
      <c r="X43" s="33">
        <f>F43+G43+K43+L43+N43+O43++P43+T40:T43+W43</f>
        <v>0</v>
      </c>
    </row>
    <row r="44" spans="1:26" s="564" customFormat="1" ht="12.75">
      <c r="A44" s="935" t="s">
        <v>43</v>
      </c>
      <c r="B44" s="936"/>
      <c r="C44" s="49"/>
      <c r="D44" s="37"/>
      <c r="E44" s="50"/>
      <c r="F44" s="51"/>
      <c r="G44" s="51"/>
      <c r="H44" s="52"/>
      <c r="I44" s="298"/>
      <c r="J44" s="49"/>
      <c r="K44" s="27"/>
      <c r="L44" s="27"/>
      <c r="M44" s="29"/>
      <c r="N44" s="27"/>
      <c r="O44" s="28"/>
      <c r="P44" s="29">
        <f>R44+S44</f>
        <v>0</v>
      </c>
      <c r="Q44" s="27"/>
      <c r="R44" s="27"/>
      <c r="S44" s="41"/>
      <c r="T44" s="29">
        <f>U44+V44</f>
        <v>0</v>
      </c>
      <c r="U44" s="31"/>
      <c r="V44" s="27"/>
      <c r="W44" s="32"/>
      <c r="X44" s="33">
        <v>25000</v>
      </c>
      <c r="Z44" s="564">
        <v>25000</v>
      </c>
    </row>
    <row r="45" spans="1:27" s="564" customFormat="1" ht="12.75">
      <c r="A45" s="928" t="s">
        <v>97</v>
      </c>
      <c r="B45" s="929"/>
      <c r="C45" s="49"/>
      <c r="D45" s="37"/>
      <c r="E45" s="54"/>
      <c r="F45" s="27">
        <f>'т.5 стр-во 2013'!K91</f>
        <v>12000</v>
      </c>
      <c r="G45" s="27">
        <f>'т.5 стр-во 2013'!L91</f>
        <v>23543</v>
      </c>
      <c r="H45" s="52"/>
      <c r="I45" s="298"/>
      <c r="J45" s="49">
        <f>'т.6 к.рем. 2013'!H131</f>
        <v>0</v>
      </c>
      <c r="K45" s="27">
        <f>'т.6 к.рем. 2013'!I131</f>
        <v>11700</v>
      </c>
      <c r="L45" s="27">
        <f>'т.6 к.рем. 2013'!J131</f>
        <v>13400</v>
      </c>
      <c r="M45" s="46">
        <f>'т.7 рем.2013'!F103</f>
        <v>0</v>
      </c>
      <c r="N45" s="27">
        <f>'т.7 рем.2013'!G103</f>
        <v>5000</v>
      </c>
      <c r="O45" s="44">
        <f>'т.7 рем.2013'!H103</f>
        <v>4000</v>
      </c>
      <c r="P45" s="29">
        <f>R45+S45</f>
        <v>0</v>
      </c>
      <c r="Q45" s="27"/>
      <c r="R45" s="27"/>
      <c r="S45" s="41"/>
      <c r="T45" s="29">
        <f>9047.5+1160+2065.3+960.8+2457</f>
        <v>15690.599999999999</v>
      </c>
      <c r="U45" s="48"/>
      <c r="V45" s="43"/>
      <c r="W45" s="32"/>
      <c r="X45" s="33">
        <f>F45+G45+K45+L45+N45+O45++P45+T45+W45</f>
        <v>85333.6</v>
      </c>
      <c r="Z45" s="564">
        <v>15857.7</v>
      </c>
      <c r="AA45" s="565">
        <f>Z45-T45</f>
        <v>167.10000000000218</v>
      </c>
    </row>
    <row r="46" spans="1:27" s="564" customFormat="1" ht="12.75">
      <c r="A46" s="924" t="s">
        <v>98</v>
      </c>
      <c r="B46" s="925"/>
      <c r="C46" s="49"/>
      <c r="D46" s="37"/>
      <c r="E46" s="50"/>
      <c r="F46" s="27"/>
      <c r="G46" s="51"/>
      <c r="H46" s="52"/>
      <c r="I46" s="298"/>
      <c r="J46" s="49"/>
      <c r="K46" s="43"/>
      <c r="L46" s="27"/>
      <c r="M46" s="46"/>
      <c r="N46" s="27"/>
      <c r="O46" s="28"/>
      <c r="P46" s="29">
        <f>R46+S46</f>
        <v>0</v>
      </c>
      <c r="Q46" s="27"/>
      <c r="R46" s="27"/>
      <c r="S46" s="41"/>
      <c r="T46" s="29">
        <f>U46+V46</f>
        <v>0</v>
      </c>
      <c r="U46" s="48"/>
      <c r="V46" s="43"/>
      <c r="W46" s="32"/>
      <c r="X46" s="33">
        <f>120000+30000-(3247.8+980.9)</f>
        <v>145771.3</v>
      </c>
      <c r="Z46" s="564">
        <v>145771.4</v>
      </c>
      <c r="AA46" s="565">
        <f>Z46-T46</f>
        <v>145771.4</v>
      </c>
    </row>
    <row r="47" spans="1:27" s="564" customFormat="1" ht="12.75">
      <c r="A47" s="928" t="s">
        <v>99</v>
      </c>
      <c r="B47" s="929"/>
      <c r="C47" s="49"/>
      <c r="D47" s="37"/>
      <c r="E47" s="50"/>
      <c r="F47" s="51"/>
      <c r="G47" s="51"/>
      <c r="H47" s="52"/>
      <c r="I47" s="298"/>
      <c r="J47" s="49"/>
      <c r="K47" s="43"/>
      <c r="L47" s="51"/>
      <c r="M47" s="46"/>
      <c r="N47" s="27"/>
      <c r="O47" s="28"/>
      <c r="P47" s="29">
        <f>R47+S47</f>
        <v>0</v>
      </c>
      <c r="Q47" s="27"/>
      <c r="R47" s="27"/>
      <c r="S47" s="41"/>
      <c r="T47" s="29">
        <f>U47+V47</f>
        <v>0</v>
      </c>
      <c r="U47" s="48"/>
      <c r="V47" s="43"/>
      <c r="W47" s="32"/>
      <c r="X47" s="33">
        <v>180000</v>
      </c>
      <c r="AA47" s="565">
        <f>Z47-T47</f>
        <v>0</v>
      </c>
    </row>
    <row r="48" spans="1:27" s="564" customFormat="1" ht="12.75">
      <c r="A48" s="916" t="s">
        <v>100</v>
      </c>
      <c r="B48" s="917"/>
      <c r="C48" s="54"/>
      <c r="D48" s="37"/>
      <c r="E48" s="51"/>
      <c r="F48" s="51"/>
      <c r="G48" s="51"/>
      <c r="H48" s="52"/>
      <c r="I48" s="298"/>
      <c r="J48" s="49"/>
      <c r="K48" s="51"/>
      <c r="L48" s="55"/>
      <c r="M48" s="46"/>
      <c r="N48" s="51"/>
      <c r="O48" s="52"/>
      <c r="P48" s="29">
        <f>R48+S48</f>
        <v>0</v>
      </c>
      <c r="Q48" s="27"/>
      <c r="R48" s="27"/>
      <c r="S48" s="41"/>
      <c r="T48" s="29">
        <f>U48+V48</f>
        <v>0</v>
      </c>
      <c r="U48" s="43"/>
      <c r="V48" s="43"/>
      <c r="W48" s="32"/>
      <c r="X48" s="33">
        <f>18500+4500+2000</f>
        <v>25000</v>
      </c>
      <c r="Z48" s="564">
        <v>25000</v>
      </c>
      <c r="AA48" s="565">
        <f>Z48-T48</f>
        <v>25000</v>
      </c>
    </row>
    <row r="49" spans="1:24" s="564" customFormat="1" ht="12.75">
      <c r="A49" s="944" t="s">
        <v>101</v>
      </c>
      <c r="B49" s="945"/>
      <c r="C49" s="57">
        <f aca="true" t="shared" si="5" ref="C49:X49">SUM(C9:C48)</f>
        <v>48.989000000000004</v>
      </c>
      <c r="D49" s="57">
        <f t="shared" si="5"/>
        <v>2</v>
      </c>
      <c r="E49" s="57">
        <f t="shared" si="5"/>
        <v>0</v>
      </c>
      <c r="F49" s="57">
        <f t="shared" si="5"/>
        <v>458525.03</v>
      </c>
      <c r="G49" s="57">
        <f t="shared" si="5"/>
        <v>1334942.3</v>
      </c>
      <c r="H49" s="58">
        <f t="shared" si="5"/>
        <v>189273</v>
      </c>
      <c r="I49" s="57">
        <f t="shared" si="5"/>
        <v>189273</v>
      </c>
      <c r="J49" s="56">
        <f t="shared" si="5"/>
        <v>80.77000000000001</v>
      </c>
      <c r="K49" s="57">
        <f t="shared" si="5"/>
        <v>233091.1</v>
      </c>
      <c r="L49" s="58">
        <f t="shared" si="5"/>
        <v>682718.5</v>
      </c>
      <c r="M49" s="566">
        <f t="shared" si="5"/>
        <v>129.52</v>
      </c>
      <c r="N49" s="57">
        <f t="shared" si="5"/>
        <v>654278</v>
      </c>
      <c r="O49" s="58">
        <f t="shared" si="5"/>
        <v>221068.19999999998</v>
      </c>
      <c r="P49" s="566">
        <f t="shared" si="5"/>
        <v>499105.80000000005</v>
      </c>
      <c r="Q49" s="57">
        <f t="shared" si="5"/>
        <v>572.950344327655</v>
      </c>
      <c r="R49" s="57">
        <f t="shared" si="5"/>
        <v>379384.80000000005</v>
      </c>
      <c r="S49" s="58">
        <f t="shared" si="5"/>
        <v>119721</v>
      </c>
      <c r="T49" s="566">
        <f t="shared" si="5"/>
        <v>1968383.6700000004</v>
      </c>
      <c r="U49" s="57">
        <f t="shared" si="5"/>
        <v>1894381.6700000002</v>
      </c>
      <c r="V49" s="58">
        <f t="shared" si="5"/>
        <v>58311.40000000001</v>
      </c>
      <c r="W49" s="63">
        <f t="shared" si="5"/>
        <v>0</v>
      </c>
      <c r="X49" s="63">
        <f t="shared" si="5"/>
        <v>6617156.9</v>
      </c>
    </row>
    <row r="50" spans="1:26" s="564" customFormat="1" ht="12.75">
      <c r="A50" s="928" t="s">
        <v>102</v>
      </c>
      <c r="B50" s="929"/>
      <c r="C50" s="49"/>
      <c r="D50" s="50"/>
      <c r="E50" s="567"/>
      <c r="F50" s="568"/>
      <c r="G50" s="569"/>
      <c r="H50" s="570"/>
      <c r="I50" s="571"/>
      <c r="J50" s="25"/>
      <c r="K50" s="27"/>
      <c r="L50" s="41"/>
      <c r="M50" s="29"/>
      <c r="N50" s="572"/>
      <c r="O50" s="573"/>
      <c r="P50" s="29"/>
      <c r="Q50" s="31"/>
      <c r="R50" s="27"/>
      <c r="S50" s="41"/>
      <c r="T50" s="29"/>
      <c r="U50" s="31"/>
      <c r="V50" s="27"/>
      <c r="W50" s="1"/>
      <c r="X50" s="33">
        <v>4190</v>
      </c>
      <c r="Z50" s="564">
        <v>4190</v>
      </c>
    </row>
    <row r="51" spans="1:24" s="564" customFormat="1" ht="12.75">
      <c r="A51" s="574"/>
      <c r="B51" s="575" t="s">
        <v>103</v>
      </c>
      <c r="C51" s="576"/>
      <c r="D51" s="577"/>
      <c r="E51" s="578"/>
      <c r="F51" s="577"/>
      <c r="G51" s="579"/>
      <c r="H51" s="580"/>
      <c r="I51" s="581"/>
      <c r="J51" s="576"/>
      <c r="K51" s="59"/>
      <c r="L51" s="582"/>
      <c r="M51" s="60"/>
      <c r="N51" s="583"/>
      <c r="O51" s="584"/>
      <c r="P51" s="60"/>
      <c r="Q51" s="585"/>
      <c r="R51" s="59"/>
      <c r="S51" s="582"/>
      <c r="T51" s="60">
        <f>550+1600</f>
        <v>2150</v>
      </c>
      <c r="U51" s="585"/>
      <c r="V51" s="59"/>
      <c r="W51" s="61"/>
      <c r="X51" s="33">
        <f>F51+G51+K51+L51+N51+O51++P51+T48:T51+W51</f>
        <v>2150</v>
      </c>
    </row>
    <row r="52" spans="1:24" s="564" customFormat="1" ht="30.75" customHeight="1" thickBot="1">
      <c r="A52" s="924" t="s">
        <v>433</v>
      </c>
      <c r="B52" s="925"/>
      <c r="C52" s="54"/>
      <c r="D52" s="50"/>
      <c r="E52" s="50"/>
      <c r="F52" s="50"/>
      <c r="G52" s="50"/>
      <c r="H52" s="52"/>
      <c r="I52" s="298"/>
      <c r="J52" s="49"/>
      <c r="K52" s="51"/>
      <c r="L52" s="586"/>
      <c r="M52" s="46"/>
      <c r="N52" s="43"/>
      <c r="O52" s="44"/>
      <c r="P52" s="46"/>
      <c r="Q52" s="43"/>
      <c r="R52" s="43"/>
      <c r="S52" s="45"/>
      <c r="T52" s="46"/>
      <c r="U52" s="43"/>
      <c r="V52" s="43"/>
      <c r="W52" s="3"/>
      <c r="X52" s="33">
        <f>87470.5+8127.7+49535.7+5887.3-1696.6-45997.6+(3247.8+980.9)</f>
        <v>107555.69999999997</v>
      </c>
    </row>
    <row r="53" spans="1:26" s="565" customFormat="1" ht="13.5" thickBot="1">
      <c r="A53" s="915" t="s">
        <v>104</v>
      </c>
      <c r="B53" s="915"/>
      <c r="C53" s="56">
        <f aca="true" t="shared" si="6" ref="C53:X53">SUM(C49:C52)</f>
        <v>48.989000000000004</v>
      </c>
      <c r="D53" s="56">
        <f t="shared" si="6"/>
        <v>2</v>
      </c>
      <c r="E53" s="56">
        <f t="shared" si="6"/>
        <v>0</v>
      </c>
      <c r="F53" s="56">
        <f t="shared" si="6"/>
        <v>458525.03</v>
      </c>
      <c r="G53" s="56">
        <f t="shared" si="6"/>
        <v>1334942.3</v>
      </c>
      <c r="H53" s="2">
        <f t="shared" si="6"/>
        <v>189273</v>
      </c>
      <c r="I53" s="56">
        <f t="shared" si="6"/>
        <v>189273</v>
      </c>
      <c r="J53" s="56">
        <f t="shared" si="6"/>
        <v>80.77000000000001</v>
      </c>
      <c r="K53" s="56">
        <f t="shared" si="6"/>
        <v>233091.1</v>
      </c>
      <c r="L53" s="56">
        <f t="shared" si="6"/>
        <v>682718.5</v>
      </c>
      <c r="M53" s="56">
        <f t="shared" si="6"/>
        <v>129.52</v>
      </c>
      <c r="N53" s="56">
        <f t="shared" si="6"/>
        <v>654278</v>
      </c>
      <c r="O53" s="56">
        <f t="shared" si="6"/>
        <v>221068.19999999998</v>
      </c>
      <c r="P53" s="56">
        <f t="shared" si="6"/>
        <v>499105.80000000005</v>
      </c>
      <c r="Q53" s="56">
        <f t="shared" si="6"/>
        <v>572.950344327655</v>
      </c>
      <c r="R53" s="56">
        <f t="shared" si="6"/>
        <v>379384.80000000005</v>
      </c>
      <c r="S53" s="56">
        <f t="shared" si="6"/>
        <v>119721</v>
      </c>
      <c r="T53" s="56">
        <f t="shared" si="6"/>
        <v>1970533.6700000004</v>
      </c>
      <c r="U53" s="56">
        <f t="shared" si="6"/>
        <v>1894381.6700000002</v>
      </c>
      <c r="V53" s="56">
        <f t="shared" si="6"/>
        <v>58311.40000000001</v>
      </c>
      <c r="W53" s="56">
        <f t="shared" si="6"/>
        <v>0</v>
      </c>
      <c r="X53" s="2">
        <f t="shared" si="6"/>
        <v>6731052.600000001</v>
      </c>
      <c r="Y53" s="565">
        <f>X53-I53</f>
        <v>6541779.600000001</v>
      </c>
      <c r="Z53" s="786"/>
    </row>
    <row r="54" spans="1:24" s="14" customFormat="1" ht="12.75">
      <c r="A54" s="5"/>
      <c r="B54" s="5"/>
      <c r="C54" s="13"/>
      <c r="D54" s="5"/>
      <c r="E54" s="5"/>
      <c r="F54" s="6"/>
      <c r="G54" s="5"/>
      <c r="H54" s="5"/>
      <c r="I54" s="5"/>
      <c r="J54" s="13"/>
      <c r="K54" s="6"/>
      <c r="L54" s="5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15"/>
      <c r="B55" s="15"/>
      <c r="C55" s="15"/>
      <c r="D55" s="15"/>
      <c r="E55" s="15"/>
      <c r="F55" s="302">
        <f>F53+G53+I53-F27</f>
        <v>1982740.33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15"/>
      <c r="D56" s="15"/>
      <c r="E56" s="15"/>
      <c r="F56" s="302">
        <f>F54+I53</f>
        <v>189273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77"/>
      <c r="U57" s="15"/>
      <c r="V57" s="15"/>
      <c r="W57" s="15"/>
      <c r="X57" s="15"/>
    </row>
    <row r="58" spans="1:2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77"/>
      <c r="U58" s="15"/>
      <c r="V58" s="15"/>
      <c r="W58" s="15"/>
      <c r="X58" s="15"/>
    </row>
    <row r="59" spans="1:2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</sheetData>
  <sheetProtection/>
  <mergeCells count="37">
    <mergeCell ref="C5:I5"/>
    <mergeCell ref="A1:X1"/>
    <mergeCell ref="A2:X2"/>
    <mergeCell ref="A3:X3"/>
    <mergeCell ref="B5:B8"/>
    <mergeCell ref="J5:L5"/>
    <mergeCell ref="M5:O5"/>
    <mergeCell ref="C6:C8"/>
    <mergeCell ref="D6:E7"/>
    <mergeCell ref="F6:F7"/>
    <mergeCell ref="T5:V5"/>
    <mergeCell ref="W5:W8"/>
    <mergeCell ref="G6:G7"/>
    <mergeCell ref="H6:H7"/>
    <mergeCell ref="J6:J8"/>
    <mergeCell ref="P5:S5"/>
    <mergeCell ref="K6:K7"/>
    <mergeCell ref="L6:L7"/>
    <mergeCell ref="M6:M8"/>
    <mergeCell ref="N6:N7"/>
    <mergeCell ref="A46:B46"/>
    <mergeCell ref="Q6:S6"/>
    <mergeCell ref="T6:T8"/>
    <mergeCell ref="Q7:R7"/>
    <mergeCell ref="O6:O7"/>
    <mergeCell ref="P6:P8"/>
    <mergeCell ref="I6:I7"/>
    <mergeCell ref="A47:B47"/>
    <mergeCell ref="X5:X8"/>
    <mergeCell ref="U6:V6"/>
    <mergeCell ref="A53:B53"/>
    <mergeCell ref="A48:B48"/>
    <mergeCell ref="A49:B49"/>
    <mergeCell ref="A50:B50"/>
    <mergeCell ref="A52:B52"/>
    <mergeCell ref="A44:B44"/>
    <mergeCell ref="A45:B45"/>
  </mergeCells>
  <conditionalFormatting sqref="X50:X52 Q9:Q38 W9:X48 J9:O48 A48:G48 R9:R48 U9:V38 P39:Q48 S39:V48 C9:F47 G9:I9 H10:I48 G10:G47">
    <cfRule type="cellIs" priority="1" dxfId="0" operator="equal" stopIfTrue="1">
      <formula>0</formula>
    </cfRule>
  </conditionalFormatting>
  <printOptions horizontalCentered="1" vertic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landscape" paperSize="9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9"/>
  <sheetViews>
    <sheetView showZero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6" sqref="D6"/>
    </sheetView>
  </sheetViews>
  <sheetFormatPr defaultColWidth="9.00390625" defaultRowHeight="12.75"/>
  <cols>
    <col min="1" max="1" width="4.00390625" style="77" customWidth="1"/>
    <col min="2" max="2" width="48.625" style="77" customWidth="1"/>
    <col min="3" max="3" width="4.75390625" style="77" customWidth="1"/>
    <col min="4" max="4" width="5.625" style="77" customWidth="1"/>
    <col min="5" max="5" width="5.375" style="77" customWidth="1"/>
    <col min="6" max="6" width="10.875" style="77" customWidth="1"/>
    <col min="7" max="8" width="10.625" style="77" customWidth="1"/>
    <col min="9" max="16384" width="9.125" style="77" customWidth="1"/>
  </cols>
  <sheetData>
    <row r="1" spans="4:6" ht="14.25" customHeight="1">
      <c r="D1" s="78"/>
      <c r="E1" s="78"/>
      <c r="F1" s="78"/>
    </row>
    <row r="2" spans="2:6" ht="11.25" customHeight="1">
      <c r="B2" s="80"/>
      <c r="C2" s="80"/>
      <c r="D2" s="81"/>
      <c r="E2" s="81"/>
      <c r="F2" s="81"/>
    </row>
    <row r="3" spans="2:8" ht="40.5" customHeight="1">
      <c r="B3" s="963" t="s">
        <v>393</v>
      </c>
      <c r="C3" s="963"/>
      <c r="D3" s="963"/>
      <c r="E3" s="963"/>
      <c r="F3" s="963"/>
      <c r="G3" s="963"/>
      <c r="H3" s="963"/>
    </row>
    <row r="4" spans="2:3" ht="8.25" customHeight="1">
      <c r="B4" s="964"/>
      <c r="C4" s="964"/>
    </row>
    <row r="5" spans="2:8" ht="16.5" customHeight="1">
      <c r="B5" s="938" t="s">
        <v>108</v>
      </c>
      <c r="C5" s="965" t="s">
        <v>109</v>
      </c>
      <c r="D5" s="966" t="s">
        <v>192</v>
      </c>
      <c r="E5" s="967"/>
      <c r="F5" s="967"/>
      <c r="G5" s="967"/>
      <c r="H5" s="968"/>
    </row>
    <row r="6" spans="2:8" ht="67.5" customHeight="1">
      <c r="B6" s="938"/>
      <c r="C6" s="965"/>
      <c r="D6" s="83" t="s">
        <v>110</v>
      </c>
      <c r="E6" s="83" t="s">
        <v>111</v>
      </c>
      <c r="F6" s="83" t="s">
        <v>112</v>
      </c>
      <c r="G6" s="83" t="s">
        <v>113</v>
      </c>
      <c r="H6" s="83" t="s">
        <v>353</v>
      </c>
    </row>
    <row r="7" spans="2:8" ht="13.5" customHeight="1">
      <c r="B7" s="938"/>
      <c r="C7" s="965"/>
      <c r="D7" s="82" t="s">
        <v>107</v>
      </c>
      <c r="E7" s="82" t="s">
        <v>106</v>
      </c>
      <c r="F7" s="83" t="s">
        <v>114</v>
      </c>
      <c r="G7" s="83" t="s">
        <v>114</v>
      </c>
      <c r="H7" s="83" t="s">
        <v>114</v>
      </c>
    </row>
    <row r="8" spans="2:8" ht="13.5" customHeight="1">
      <c r="B8" s="87" t="s">
        <v>198</v>
      </c>
      <c r="C8" s="268"/>
      <c r="D8" s="82"/>
      <c r="E8" s="89">
        <f>E9</f>
        <v>3.2</v>
      </c>
      <c r="F8" s="89">
        <f>F9</f>
        <v>0</v>
      </c>
      <c r="G8" s="89">
        <f>G9</f>
        <v>9600</v>
      </c>
      <c r="H8" s="89">
        <f>H9</f>
        <v>32000</v>
      </c>
    </row>
    <row r="9" spans="1:8" ht="24">
      <c r="A9" s="77" t="s">
        <v>124</v>
      </c>
      <c r="B9" s="317" t="s">
        <v>368</v>
      </c>
      <c r="C9" s="90" t="s">
        <v>115</v>
      </c>
      <c r="D9" s="82"/>
      <c r="E9" s="91">
        <v>3.2</v>
      </c>
      <c r="F9" s="83"/>
      <c r="G9" s="91">
        <v>9600</v>
      </c>
      <c r="H9" s="91">
        <v>32000</v>
      </c>
    </row>
    <row r="10" spans="2:8" ht="14.25">
      <c r="B10" s="306" t="s">
        <v>202</v>
      </c>
      <c r="C10" s="90"/>
      <c r="D10" s="82"/>
      <c r="E10" s="89">
        <f>E11</f>
        <v>0.603</v>
      </c>
      <c r="F10" s="89"/>
      <c r="G10" s="89">
        <f>G11</f>
        <v>1210</v>
      </c>
      <c r="H10" s="89">
        <f>H11</f>
        <v>6030</v>
      </c>
    </row>
    <row r="11" spans="2:8" ht="36">
      <c r="B11" s="316" t="s">
        <v>188</v>
      </c>
      <c r="C11" s="90"/>
      <c r="D11" s="82"/>
      <c r="E11" s="91">
        <v>0.603</v>
      </c>
      <c r="F11" s="83"/>
      <c r="G11" s="91">
        <v>1210</v>
      </c>
      <c r="H11" s="91">
        <v>6030</v>
      </c>
    </row>
    <row r="12" spans="2:10" ht="14.25">
      <c r="B12" s="87" t="s">
        <v>116</v>
      </c>
      <c r="C12" s="88"/>
      <c r="D12" s="88"/>
      <c r="E12" s="89">
        <f>E13</f>
        <v>1.038</v>
      </c>
      <c r="F12" s="89">
        <f>F13</f>
        <v>109090.4</v>
      </c>
      <c r="G12" s="89">
        <f>G13</f>
        <v>0</v>
      </c>
      <c r="H12" s="2"/>
      <c r="J12" s="215"/>
    </row>
    <row r="13" spans="1:8" ht="24">
      <c r="A13" s="77" t="s">
        <v>117</v>
      </c>
      <c r="B13" s="510" t="s">
        <v>119</v>
      </c>
      <c r="C13" s="94"/>
      <c r="D13" s="95" t="s">
        <v>147</v>
      </c>
      <c r="E13" s="95">
        <v>1.038</v>
      </c>
      <c r="F13" s="95">
        <v>109090.4</v>
      </c>
      <c r="G13" s="85"/>
      <c r="H13" s="85"/>
    </row>
    <row r="14" spans="2:8" ht="14.25">
      <c r="B14" s="92" t="s">
        <v>120</v>
      </c>
      <c r="C14" s="93"/>
      <c r="D14" s="89">
        <f>D15</f>
        <v>0</v>
      </c>
      <c r="E14" s="89">
        <f>E15</f>
        <v>0</v>
      </c>
      <c r="F14" s="89">
        <f>F15</f>
        <v>0</v>
      </c>
      <c r="G14" s="89">
        <f>G15+G16</f>
        <v>50000</v>
      </c>
      <c r="H14" s="89">
        <f>H15</f>
        <v>0</v>
      </c>
    </row>
    <row r="15" spans="1:8" ht="12.75">
      <c r="A15" s="77" t="s">
        <v>124</v>
      </c>
      <c r="B15" s="517" t="s">
        <v>148</v>
      </c>
      <c r="C15" s="94" t="s">
        <v>115</v>
      </c>
      <c r="D15" s="1"/>
      <c r="E15" s="95">
        <f>4.03-4.03</f>
        <v>0</v>
      </c>
      <c r="F15" s="130"/>
      <c r="G15" s="95">
        <v>30000</v>
      </c>
      <c r="H15" s="95"/>
    </row>
    <row r="16" spans="2:8" ht="36">
      <c r="B16" s="184" t="s">
        <v>18</v>
      </c>
      <c r="C16" s="516"/>
      <c r="D16" s="191" t="s">
        <v>19</v>
      </c>
      <c r="E16" s="98"/>
      <c r="F16" s="136"/>
      <c r="G16" s="191">
        <v>20000</v>
      </c>
      <c r="H16" s="98"/>
    </row>
    <row r="17" spans="2:8" ht="14.25">
      <c r="B17" s="181" t="s">
        <v>223</v>
      </c>
      <c r="C17" s="90"/>
      <c r="D17" s="126"/>
      <c r="E17" s="89">
        <f>E18</f>
        <v>1.836</v>
      </c>
      <c r="F17" s="89"/>
      <c r="G17" s="89">
        <f>G18</f>
        <v>11574.5</v>
      </c>
      <c r="H17" s="89">
        <f>H18</f>
        <v>18000</v>
      </c>
    </row>
    <row r="18" spans="1:8" ht="38.25">
      <c r="A18" s="77" t="s">
        <v>124</v>
      </c>
      <c r="B18" s="321" t="s">
        <v>395</v>
      </c>
      <c r="C18" s="90" t="s">
        <v>115</v>
      </c>
      <c r="D18" s="126"/>
      <c r="E18" s="91">
        <v>1.836</v>
      </c>
      <c r="F18" s="2"/>
      <c r="G18" s="91">
        <f>5400+6174.5</f>
        <v>11574.5</v>
      </c>
      <c r="H18" s="91">
        <v>18000</v>
      </c>
    </row>
    <row r="19" spans="2:8" ht="14.25">
      <c r="B19" s="181" t="s">
        <v>404</v>
      </c>
      <c r="C19" s="274"/>
      <c r="D19" s="233"/>
      <c r="E19" s="265">
        <f>E20</f>
        <v>0</v>
      </c>
      <c r="F19" s="276"/>
      <c r="G19" s="265">
        <f>G20</f>
        <v>0</v>
      </c>
      <c r="H19" s="265">
        <f>H20</f>
        <v>40000</v>
      </c>
    </row>
    <row r="20" spans="2:8" ht="12.75">
      <c r="B20" s="318" t="s">
        <v>372</v>
      </c>
      <c r="C20" s="273"/>
      <c r="D20" s="233"/>
      <c r="E20" s="187"/>
      <c r="F20" s="276"/>
      <c r="G20" s="187"/>
      <c r="H20" s="187">
        <v>40000</v>
      </c>
    </row>
    <row r="21" spans="2:8" ht="14.25">
      <c r="B21" s="181" t="s">
        <v>231</v>
      </c>
      <c r="C21" s="90"/>
      <c r="D21" s="126"/>
      <c r="E21" s="88">
        <f>E22</f>
        <v>4</v>
      </c>
      <c r="F21" s="2"/>
      <c r="G21" s="88">
        <f>G22</f>
        <v>4000</v>
      </c>
      <c r="H21" s="88">
        <f>H22</f>
        <v>40000</v>
      </c>
    </row>
    <row r="22" spans="2:8" ht="36">
      <c r="B22" s="318" t="s">
        <v>125</v>
      </c>
      <c r="C22" s="273"/>
      <c r="D22" s="233"/>
      <c r="E22" s="187">
        <v>4</v>
      </c>
      <c r="F22" s="276"/>
      <c r="G22" s="187">
        <v>4000</v>
      </c>
      <c r="H22" s="187">
        <v>40000</v>
      </c>
    </row>
    <row r="23" spans="2:8" ht="14.25">
      <c r="B23" s="87" t="s">
        <v>122</v>
      </c>
      <c r="C23" s="88"/>
      <c r="D23" s="88"/>
      <c r="E23" s="88">
        <f>E24</f>
        <v>2.954</v>
      </c>
      <c r="F23" s="88">
        <f>F24</f>
        <v>0</v>
      </c>
      <c r="G23" s="88">
        <f>G24</f>
        <v>8460</v>
      </c>
      <c r="H23" s="88">
        <f>H24</f>
        <v>29540</v>
      </c>
    </row>
    <row r="24" spans="1:8" ht="36">
      <c r="A24" s="77" t="s">
        <v>124</v>
      </c>
      <c r="B24" s="270" t="s">
        <v>354</v>
      </c>
      <c r="C24" s="94" t="s">
        <v>115</v>
      </c>
      <c r="D24" s="95"/>
      <c r="E24" s="322">
        <v>2.954</v>
      </c>
      <c r="F24" s="95">
        <f>20000-20000</f>
        <v>0</v>
      </c>
      <c r="G24" s="95">
        <v>8460</v>
      </c>
      <c r="H24" s="95">
        <v>29540</v>
      </c>
    </row>
    <row r="25" spans="2:8" ht="14.25">
      <c r="B25" s="92" t="s">
        <v>243</v>
      </c>
      <c r="C25" s="90"/>
      <c r="D25" s="91"/>
      <c r="E25" s="88">
        <f>E26</f>
        <v>0.7</v>
      </c>
      <c r="F25" s="88">
        <f>F26</f>
        <v>0</v>
      </c>
      <c r="G25" s="88">
        <f>G26</f>
        <v>2100</v>
      </c>
      <c r="H25" s="88">
        <f>H26</f>
        <v>7000</v>
      </c>
    </row>
    <row r="26" spans="1:8" ht="24">
      <c r="A26" s="77" t="s">
        <v>124</v>
      </c>
      <c r="B26" s="270" t="s">
        <v>369</v>
      </c>
      <c r="C26" s="94" t="s">
        <v>115</v>
      </c>
      <c r="D26" s="95"/>
      <c r="E26" s="134">
        <v>0.7</v>
      </c>
      <c r="F26" s="134"/>
      <c r="G26" s="134">
        <f>2100-394.6+394.6</f>
        <v>2100</v>
      </c>
      <c r="H26" s="134">
        <v>7000</v>
      </c>
    </row>
    <row r="27" spans="2:8" ht="14.25">
      <c r="B27" s="87" t="s">
        <v>245</v>
      </c>
      <c r="C27" s="90"/>
      <c r="D27" s="91"/>
      <c r="E27" s="88">
        <f>E28</f>
        <v>4.87</v>
      </c>
      <c r="F27" s="88">
        <f>F28</f>
        <v>0</v>
      </c>
      <c r="G27" s="88">
        <f>G28</f>
        <v>14030.9</v>
      </c>
      <c r="H27" s="88">
        <f>H28</f>
        <v>48700</v>
      </c>
    </row>
    <row r="28" spans="1:8" ht="36">
      <c r="A28" s="77" t="s">
        <v>124</v>
      </c>
      <c r="B28" s="270" t="s">
        <v>0</v>
      </c>
      <c r="C28" s="94" t="s">
        <v>115</v>
      </c>
      <c r="D28" s="95"/>
      <c r="E28" s="95">
        <v>4.87</v>
      </c>
      <c r="F28" s="95"/>
      <c r="G28" s="95">
        <f>14610-1079.1+500</f>
        <v>14030.9</v>
      </c>
      <c r="H28" s="95">
        <v>48700</v>
      </c>
    </row>
    <row r="29" spans="2:8" ht="14.25">
      <c r="B29" s="87" t="s">
        <v>123</v>
      </c>
      <c r="C29" s="88"/>
      <c r="D29" s="88">
        <f>SUM(D30:D32)</f>
        <v>0</v>
      </c>
      <c r="E29" s="88">
        <f>SUM(E30:E32)</f>
        <v>2.5</v>
      </c>
      <c r="F29" s="88">
        <f>SUM(F30:F32)</f>
        <v>0</v>
      </c>
      <c r="G29" s="88">
        <f>SUM(G30:G32)</f>
        <v>730000</v>
      </c>
      <c r="H29" s="88"/>
    </row>
    <row r="30" spans="1:8" ht="24">
      <c r="A30" s="77" t="s">
        <v>124</v>
      </c>
      <c r="B30" s="271" t="s">
        <v>126</v>
      </c>
      <c r="C30" s="94" t="s">
        <v>121</v>
      </c>
      <c r="D30" s="1"/>
      <c r="E30" s="95">
        <v>2.5</v>
      </c>
      <c r="F30" s="1"/>
      <c r="G30" s="794">
        <f>1960392.8-151475.8-258441.7-404747-596000-300000+216650+33621.7+180000</f>
        <v>680000</v>
      </c>
      <c r="H30" s="95"/>
    </row>
    <row r="31" spans="1:8" ht="19.5">
      <c r="A31" s="77" t="s">
        <v>124</v>
      </c>
      <c r="B31" s="515" t="s">
        <v>154</v>
      </c>
      <c r="C31" s="131" t="s">
        <v>121</v>
      </c>
      <c r="D31" s="97"/>
      <c r="E31" s="97"/>
      <c r="F31" s="97"/>
      <c r="G31" s="97">
        <v>20000</v>
      </c>
      <c r="H31" s="106"/>
    </row>
    <row r="32" spans="1:8" ht="36">
      <c r="A32" s="77" t="s">
        <v>124</v>
      </c>
      <c r="B32" s="515" t="s">
        <v>127</v>
      </c>
      <c r="C32" s="96" t="s">
        <v>351</v>
      </c>
      <c r="D32" s="97"/>
      <c r="E32" s="97"/>
      <c r="F32" s="97"/>
      <c r="G32" s="97">
        <v>30000</v>
      </c>
      <c r="H32" s="106"/>
    </row>
    <row r="33" spans="2:8" ht="14.25">
      <c r="B33" s="92" t="s">
        <v>128</v>
      </c>
      <c r="C33" s="93"/>
      <c r="D33" s="89"/>
      <c r="E33" s="89">
        <f>E34+E35</f>
        <v>0.81063</v>
      </c>
      <c r="F33" s="89">
        <f>F34+F35</f>
        <v>569795.5</v>
      </c>
      <c r="G33" s="89">
        <f>G34+G35</f>
        <v>0</v>
      </c>
      <c r="H33" s="84"/>
    </row>
    <row r="34" spans="1:8" ht="24">
      <c r="A34" s="77" t="s">
        <v>117</v>
      </c>
      <c r="B34" s="270" t="s">
        <v>135</v>
      </c>
      <c r="C34" s="94"/>
      <c r="D34" s="95" t="s">
        <v>155</v>
      </c>
      <c r="E34" s="95">
        <v>0.81063</v>
      </c>
      <c r="F34" s="95">
        <f>27148.6+59166+70563.3+27712.4-5000</f>
        <v>179590.30000000002</v>
      </c>
      <c r="G34" s="85"/>
      <c r="H34" s="85"/>
    </row>
    <row r="35" spans="1:8" ht="30.75" customHeight="1">
      <c r="A35" s="77" t="s">
        <v>124</v>
      </c>
      <c r="B35" s="591" t="s">
        <v>144</v>
      </c>
      <c r="C35" s="514" t="s">
        <v>121</v>
      </c>
      <c r="D35" s="98"/>
      <c r="E35" s="97"/>
      <c r="F35" s="97">
        <f>19205.2+371000</f>
        <v>390205.2</v>
      </c>
      <c r="G35" s="97"/>
      <c r="H35" s="86"/>
    </row>
    <row r="36" spans="2:8" ht="14.25">
      <c r="B36" s="87" t="s">
        <v>259</v>
      </c>
      <c r="C36" s="274"/>
      <c r="D36" s="187"/>
      <c r="E36" s="88">
        <f>E37</f>
        <v>3.9</v>
      </c>
      <c r="F36" s="88">
        <f>F37</f>
        <v>0</v>
      </c>
      <c r="G36" s="88">
        <f>G37</f>
        <v>11700</v>
      </c>
      <c r="H36" s="265">
        <f>H37</f>
        <v>39000</v>
      </c>
    </row>
    <row r="37" spans="1:8" ht="36">
      <c r="A37" s="77" t="s">
        <v>124</v>
      </c>
      <c r="B37" s="270" t="s">
        <v>370</v>
      </c>
      <c r="C37" s="90" t="s">
        <v>115</v>
      </c>
      <c r="D37" s="91"/>
      <c r="E37" s="91">
        <v>3.9</v>
      </c>
      <c r="F37" s="91"/>
      <c r="G37" s="91">
        <v>11700</v>
      </c>
      <c r="H37" s="91">
        <v>39000</v>
      </c>
    </row>
    <row r="38" spans="2:8" ht="14.25">
      <c r="B38" s="87" t="s">
        <v>263</v>
      </c>
      <c r="C38" s="274"/>
      <c r="D38" s="187"/>
      <c r="E38" s="265">
        <f>E39</f>
        <v>4.2</v>
      </c>
      <c r="F38" s="265">
        <f>F39+F40</f>
        <v>65000</v>
      </c>
      <c r="G38" s="265">
        <f>G39+G40</f>
        <v>12600</v>
      </c>
      <c r="H38" s="265">
        <f>H39+H40</f>
        <v>42000</v>
      </c>
    </row>
    <row r="39" spans="1:8" ht="24">
      <c r="A39" s="77" t="s">
        <v>124</v>
      </c>
      <c r="B39" s="270" t="s">
        <v>371</v>
      </c>
      <c r="C39" s="94" t="s">
        <v>115</v>
      </c>
      <c r="D39" s="95"/>
      <c r="E39" s="95">
        <v>4.2</v>
      </c>
      <c r="F39" s="95"/>
      <c r="G39" s="95">
        <v>12600</v>
      </c>
      <c r="H39" s="95">
        <v>42000</v>
      </c>
    </row>
    <row r="40" spans="1:8" ht="36">
      <c r="A40" s="77" t="s">
        <v>117</v>
      </c>
      <c r="B40" s="785" t="s">
        <v>138</v>
      </c>
      <c r="C40" s="99"/>
      <c r="D40" s="98"/>
      <c r="E40" s="98"/>
      <c r="F40" s="98">
        <v>65000</v>
      </c>
      <c r="G40" s="98"/>
      <c r="H40" s="86"/>
    </row>
    <row r="41" spans="2:8" ht="14.25">
      <c r="B41" s="87" t="s">
        <v>267</v>
      </c>
      <c r="C41" s="274"/>
      <c r="D41" s="187"/>
      <c r="E41" s="88">
        <f>E42</f>
        <v>2.447</v>
      </c>
      <c r="F41" s="88">
        <f>F42</f>
        <v>0</v>
      </c>
      <c r="G41" s="88">
        <f>G42</f>
        <v>9866.6</v>
      </c>
      <c r="H41" s="88">
        <f>H42</f>
        <v>24000</v>
      </c>
    </row>
    <row r="42" spans="1:8" ht="24">
      <c r="A42" s="77" t="s">
        <v>124</v>
      </c>
      <c r="B42" s="270" t="s">
        <v>390</v>
      </c>
      <c r="C42" s="90" t="s">
        <v>115</v>
      </c>
      <c r="D42" s="91"/>
      <c r="E42" s="91">
        <v>2.447</v>
      </c>
      <c r="F42" s="91"/>
      <c r="G42" s="91">
        <f>7200+2666.6</f>
        <v>9866.6</v>
      </c>
      <c r="H42" s="91">
        <v>24000</v>
      </c>
    </row>
    <row r="43" spans="2:8" ht="14.25">
      <c r="B43" s="87" t="s">
        <v>270</v>
      </c>
      <c r="C43" s="274"/>
      <c r="D43" s="187"/>
      <c r="E43" s="265">
        <f>E44</f>
        <v>4.8</v>
      </c>
      <c r="F43" s="265">
        <f>F44</f>
        <v>0</v>
      </c>
      <c r="G43" s="265">
        <f>G44</f>
        <v>2522</v>
      </c>
      <c r="H43" s="265">
        <f>H44</f>
        <v>48000</v>
      </c>
    </row>
    <row r="44" spans="1:8" ht="24">
      <c r="A44" s="77" t="s">
        <v>124</v>
      </c>
      <c r="B44" s="270" t="s">
        <v>391</v>
      </c>
      <c r="C44" s="99" t="s">
        <v>115</v>
      </c>
      <c r="D44" s="187"/>
      <c r="E44" s="187">
        <v>4.8</v>
      </c>
      <c r="F44" s="187"/>
      <c r="G44" s="187">
        <f>14400-12378+500</f>
        <v>2522</v>
      </c>
      <c r="H44" s="187">
        <f>48000</f>
        <v>48000</v>
      </c>
    </row>
    <row r="45" spans="2:8" ht="14.25">
      <c r="B45" s="87" t="s">
        <v>129</v>
      </c>
      <c r="C45" s="88"/>
      <c r="D45" s="88"/>
      <c r="E45" s="88">
        <f>E46</f>
        <v>4</v>
      </c>
      <c r="F45" s="88">
        <f>F46</f>
        <v>0</v>
      </c>
      <c r="G45" s="88">
        <f>G46</f>
        <v>38000</v>
      </c>
      <c r="H45" s="88">
        <f>H46</f>
        <v>40000</v>
      </c>
    </row>
    <row r="46" spans="1:8" ht="36">
      <c r="A46" s="77" t="s">
        <v>124</v>
      </c>
      <c r="B46" s="512" t="s">
        <v>1</v>
      </c>
      <c r="C46" s="513" t="s">
        <v>352</v>
      </c>
      <c r="D46" s="88"/>
      <c r="E46" s="91">
        <v>4</v>
      </c>
      <c r="F46" s="91"/>
      <c r="G46" s="91">
        <v>38000</v>
      </c>
      <c r="H46" s="91">
        <v>40000</v>
      </c>
    </row>
    <row r="47" spans="2:8" ht="14.25">
      <c r="B47" s="511" t="s">
        <v>287</v>
      </c>
      <c r="C47" s="275"/>
      <c r="D47" s="265"/>
      <c r="E47" s="265">
        <f>E48</f>
        <v>2.7</v>
      </c>
      <c r="F47" s="265">
        <f>F48</f>
        <v>0</v>
      </c>
      <c r="G47" s="265">
        <f>G48</f>
        <v>5290</v>
      </c>
      <c r="H47" s="265">
        <f>H48</f>
        <v>27000</v>
      </c>
    </row>
    <row r="48" spans="1:8" ht="36">
      <c r="A48" s="77" t="s">
        <v>124</v>
      </c>
      <c r="B48" s="270" t="s">
        <v>392</v>
      </c>
      <c r="C48" s="94" t="s">
        <v>115</v>
      </c>
      <c r="D48" s="133"/>
      <c r="E48" s="95">
        <v>2.7</v>
      </c>
      <c r="F48" s="95"/>
      <c r="G48" s="95">
        <f>8100-3310+500</f>
        <v>5290</v>
      </c>
      <c r="H48" s="95">
        <v>27000</v>
      </c>
    </row>
    <row r="49" spans="2:8" ht="14.25" customHeight="1">
      <c r="B49" s="100" t="s">
        <v>130</v>
      </c>
      <c r="C49" s="101">
        <v>0</v>
      </c>
      <c r="D49" s="102">
        <v>4</v>
      </c>
      <c r="E49" s="102">
        <f>E12+E14+E23+E33+E45+E29+E8+E25+E27+E36+E38+E41+E43+E47+E17+E19+E21+E10</f>
        <v>44.55863</v>
      </c>
      <c r="F49" s="102">
        <f>F12+F14+F23+F33+F45+F29+F8+F25+F27+F36+F38+F41+F43+F47+F17+F19+F21+F10</f>
        <v>743885.9</v>
      </c>
      <c r="G49" s="102">
        <f>G12+G14+G23+G33+G45+G29+G8+G25+G27+G36+G38+G41+G43+G47+G17+G19+G21+G10</f>
        <v>910954</v>
      </c>
      <c r="H49" s="102">
        <f>H12+H14+H23+H33+H45+H29+H8+H25+H27+H36+H38+H41+H43+H47+H17+H19+H21+H10</f>
        <v>441270</v>
      </c>
    </row>
    <row r="50" spans="2:8" ht="13.5" customHeight="1">
      <c r="B50" s="103" t="s">
        <v>131</v>
      </c>
      <c r="C50" s="104"/>
      <c r="D50" s="105"/>
      <c r="E50" s="105"/>
      <c r="F50" s="105"/>
      <c r="G50" s="85"/>
      <c r="H50" s="85"/>
    </row>
    <row r="51" spans="2:8" ht="12.75">
      <c r="B51" s="547" t="s">
        <v>132</v>
      </c>
      <c r="C51" s="548"/>
      <c r="D51" s="242"/>
      <c r="E51" s="242"/>
      <c r="F51" s="242">
        <v>15000</v>
      </c>
      <c r="G51" s="787">
        <f>24500-610-0.1-394.6-500-500-500</f>
        <v>21995.300000000003</v>
      </c>
      <c r="H51" s="106"/>
    </row>
    <row r="52" spans="2:8" ht="12.75">
      <c r="B52" s="137" t="s">
        <v>325</v>
      </c>
      <c r="C52" s="107"/>
      <c r="D52" s="108"/>
      <c r="E52" s="108"/>
      <c r="F52" s="108"/>
      <c r="G52" s="108"/>
      <c r="H52" s="86"/>
    </row>
    <row r="53" spans="2:8" ht="12" customHeight="1">
      <c r="B53" s="100" t="s">
        <v>133</v>
      </c>
      <c r="C53" s="101"/>
      <c r="D53" s="102">
        <f>SUM(D49:D52)</f>
        <v>4</v>
      </c>
      <c r="E53" s="102">
        <f>SUM(E49:E52)</f>
        <v>44.55863</v>
      </c>
      <c r="F53" s="102">
        <f>SUM(F49:F52)</f>
        <v>758885.9</v>
      </c>
      <c r="G53" s="102">
        <f>SUM(G49:G52)</f>
        <v>932949.3</v>
      </c>
      <c r="H53" s="102">
        <f>SUM(H49:H52)</f>
        <v>441270</v>
      </c>
    </row>
    <row r="54" spans="2:8" ht="12.75">
      <c r="B54" s="122"/>
      <c r="C54" s="116"/>
      <c r="D54" s="117"/>
      <c r="E54" s="117"/>
      <c r="F54" s="117"/>
      <c r="G54" s="113"/>
      <c r="H54" s="113"/>
    </row>
    <row r="55" spans="2:8" ht="14.25">
      <c r="B55" s="118"/>
      <c r="C55" s="119"/>
      <c r="D55" s="119"/>
      <c r="E55" s="119"/>
      <c r="F55" s="119"/>
      <c r="G55" s="113"/>
      <c r="H55" s="113"/>
    </row>
    <row r="56" spans="2:8" ht="12.75">
      <c r="B56" s="123"/>
      <c r="C56" s="116"/>
      <c r="D56" s="117"/>
      <c r="E56" s="117"/>
      <c r="F56" s="117"/>
      <c r="G56" s="113"/>
      <c r="H56" s="113"/>
    </row>
    <row r="57" spans="2:8" ht="14.25">
      <c r="B57" s="118"/>
      <c r="C57" s="119"/>
      <c r="D57" s="119"/>
      <c r="E57" s="119"/>
      <c r="F57" s="119"/>
      <c r="G57" s="113"/>
      <c r="H57" s="113"/>
    </row>
    <row r="58" spans="2:8" ht="12.75">
      <c r="B58" s="120"/>
      <c r="C58" s="121"/>
      <c r="D58" s="117"/>
      <c r="E58" s="117"/>
      <c r="F58" s="117"/>
      <c r="G58" s="113"/>
      <c r="H58" s="113"/>
    </row>
    <row r="59" spans="2:8" ht="12.75">
      <c r="B59" s="120"/>
      <c r="C59" s="121"/>
      <c r="D59" s="117"/>
      <c r="E59" s="117"/>
      <c r="F59" s="117"/>
      <c r="G59" s="113"/>
      <c r="H59" s="113"/>
    </row>
    <row r="60" spans="2:8" ht="14.25">
      <c r="B60" s="118"/>
      <c r="C60" s="119"/>
      <c r="D60" s="119"/>
      <c r="E60" s="119"/>
      <c r="F60" s="119"/>
      <c r="G60" s="113"/>
      <c r="H60" s="113"/>
    </row>
    <row r="61" spans="2:8" ht="12.75">
      <c r="B61" s="123"/>
      <c r="C61" s="116"/>
      <c r="D61" s="117"/>
      <c r="E61" s="117"/>
      <c r="F61" s="117"/>
      <c r="G61" s="113"/>
      <c r="H61" s="113"/>
    </row>
    <row r="62" spans="2:8" ht="14.25">
      <c r="B62" s="118"/>
      <c r="C62" s="119"/>
      <c r="D62" s="119"/>
      <c r="E62" s="119"/>
      <c r="F62" s="119"/>
      <c r="G62" s="113"/>
      <c r="H62" s="113"/>
    </row>
    <row r="63" spans="2:8" ht="12.75">
      <c r="B63" s="120"/>
      <c r="C63" s="121"/>
      <c r="D63" s="117"/>
      <c r="E63" s="117"/>
      <c r="F63" s="117"/>
      <c r="G63" s="113"/>
      <c r="H63" s="113"/>
    </row>
    <row r="64" spans="2:8" ht="14.25">
      <c r="B64" s="118"/>
      <c r="C64" s="119"/>
      <c r="D64" s="119"/>
      <c r="E64" s="119"/>
      <c r="F64" s="119"/>
      <c r="G64" s="113"/>
      <c r="H64" s="113"/>
    </row>
    <row r="65" spans="2:8" ht="12.75">
      <c r="B65" s="120"/>
      <c r="C65" s="121"/>
      <c r="D65" s="117"/>
      <c r="E65" s="117"/>
      <c r="F65" s="117"/>
      <c r="G65" s="113"/>
      <c r="H65" s="113"/>
    </row>
    <row r="66" spans="2:8" ht="12.75">
      <c r="B66" s="120"/>
      <c r="C66" s="121"/>
      <c r="D66" s="117"/>
      <c r="E66" s="117"/>
      <c r="F66" s="117"/>
      <c r="G66" s="113"/>
      <c r="H66" s="113"/>
    </row>
    <row r="67" spans="2:8" ht="12.75">
      <c r="B67" s="120"/>
      <c r="C67" s="121"/>
      <c r="D67" s="117"/>
      <c r="E67" s="117"/>
      <c r="F67" s="117"/>
      <c r="G67" s="113"/>
      <c r="H67" s="113"/>
    </row>
    <row r="68" spans="2:8" ht="14.25">
      <c r="B68" s="118"/>
      <c r="C68" s="119"/>
      <c r="D68" s="119"/>
      <c r="E68" s="119"/>
      <c r="F68" s="119"/>
      <c r="G68" s="113"/>
      <c r="H68" s="113"/>
    </row>
    <row r="69" spans="2:8" ht="12.75">
      <c r="B69" s="120"/>
      <c r="C69" s="121"/>
      <c r="D69" s="117"/>
      <c r="E69" s="117"/>
      <c r="F69" s="117"/>
      <c r="G69" s="113"/>
      <c r="H69" s="113"/>
    </row>
    <row r="70" spans="2:8" ht="12.75">
      <c r="B70" s="124"/>
      <c r="C70" s="119"/>
      <c r="D70" s="119"/>
      <c r="E70" s="119"/>
      <c r="F70" s="119"/>
      <c r="G70" s="113"/>
      <c r="H70" s="113"/>
    </row>
    <row r="71" spans="2:8" ht="12.75">
      <c r="B71" s="110"/>
      <c r="C71" s="111"/>
      <c r="D71" s="112"/>
      <c r="E71" s="112"/>
      <c r="F71" s="112"/>
      <c r="G71" s="113"/>
      <c r="H71" s="113"/>
    </row>
    <row r="72" spans="2:8" ht="12.75">
      <c r="B72" s="110"/>
      <c r="C72" s="111"/>
      <c r="D72" s="112"/>
      <c r="E72" s="112"/>
      <c r="F72" s="112"/>
      <c r="G72" s="113"/>
      <c r="H72" s="113"/>
    </row>
    <row r="73" spans="2:8" ht="12.75">
      <c r="B73" s="125"/>
      <c r="C73" s="111"/>
      <c r="D73" s="112"/>
      <c r="E73" s="112"/>
      <c r="F73" s="112"/>
      <c r="G73" s="113"/>
      <c r="H73" s="113"/>
    </row>
    <row r="74" spans="2:8" ht="12.75">
      <c r="B74" s="125"/>
      <c r="C74" s="111"/>
      <c r="D74" s="112"/>
      <c r="E74" s="112"/>
      <c r="F74" s="112"/>
      <c r="G74" s="113"/>
      <c r="H74" s="113"/>
    </row>
    <row r="75" spans="2:8" ht="12.75">
      <c r="B75" s="110"/>
      <c r="C75" s="111"/>
      <c r="D75" s="112"/>
      <c r="E75" s="112"/>
      <c r="F75" s="112"/>
      <c r="G75" s="113"/>
      <c r="H75" s="113"/>
    </row>
    <row r="76" spans="2:8" ht="12.75">
      <c r="B76" s="113"/>
      <c r="C76" s="113"/>
      <c r="D76" s="113"/>
      <c r="E76" s="113"/>
      <c r="F76" s="113"/>
      <c r="G76" s="113"/>
      <c r="H76" s="113"/>
    </row>
    <row r="77" spans="2:8" ht="12.75">
      <c r="B77" s="113"/>
      <c r="C77" s="113"/>
      <c r="D77" s="114"/>
      <c r="E77" s="114"/>
      <c r="F77" s="114"/>
      <c r="G77" s="113"/>
      <c r="H77" s="113"/>
    </row>
    <row r="78" spans="2:8" ht="12.75">
      <c r="B78" s="113"/>
      <c r="C78" s="113"/>
      <c r="D78" s="113"/>
      <c r="E78" s="113"/>
      <c r="F78" s="113"/>
      <c r="G78" s="113"/>
      <c r="H78" s="113"/>
    </row>
    <row r="79" spans="2:8" ht="12.75">
      <c r="B79" s="113"/>
      <c r="C79" s="113"/>
      <c r="D79" s="113"/>
      <c r="E79" s="113"/>
      <c r="F79" s="113"/>
      <c r="G79" s="113"/>
      <c r="H79" s="113"/>
    </row>
    <row r="80" spans="2:8" ht="12.75">
      <c r="B80" s="113"/>
      <c r="C80" s="113"/>
      <c r="D80" s="113"/>
      <c r="E80" s="113"/>
      <c r="F80" s="113"/>
      <c r="G80" s="113"/>
      <c r="H80" s="113"/>
    </row>
    <row r="81" spans="2:8" ht="12.75">
      <c r="B81" s="113"/>
      <c r="C81" s="113"/>
      <c r="D81" s="113"/>
      <c r="E81" s="113"/>
      <c r="F81" s="113"/>
      <c r="G81" s="113"/>
      <c r="H81" s="113"/>
    </row>
    <row r="82" spans="2:8" ht="12.75">
      <c r="B82" s="113"/>
      <c r="C82" s="113"/>
      <c r="D82" s="113"/>
      <c r="E82" s="113"/>
      <c r="F82" s="113"/>
      <c r="G82" s="113"/>
      <c r="H82" s="113"/>
    </row>
    <row r="83" spans="2:8" ht="12.75">
      <c r="B83" s="113"/>
      <c r="C83" s="113"/>
      <c r="D83" s="113"/>
      <c r="E83" s="113"/>
      <c r="F83" s="113"/>
      <c r="G83" s="113"/>
      <c r="H83" s="113"/>
    </row>
    <row r="84" spans="2:8" ht="12.75">
      <c r="B84" s="113"/>
      <c r="C84" s="113"/>
      <c r="D84" s="113"/>
      <c r="E84" s="113"/>
      <c r="F84" s="113"/>
      <c r="G84" s="113"/>
      <c r="H84" s="113"/>
    </row>
    <row r="85" spans="2:8" ht="12.75">
      <c r="B85" s="113"/>
      <c r="C85" s="113"/>
      <c r="D85" s="113"/>
      <c r="E85" s="113"/>
      <c r="F85" s="113"/>
      <c r="G85" s="113"/>
      <c r="H85" s="113"/>
    </row>
    <row r="86" spans="2:8" ht="12.75">
      <c r="B86" s="113"/>
      <c r="C86" s="113"/>
      <c r="D86" s="113"/>
      <c r="E86" s="113"/>
      <c r="F86" s="113"/>
      <c r="G86" s="113"/>
      <c r="H86" s="113"/>
    </row>
    <row r="87" spans="2:8" ht="12.75">
      <c r="B87" s="113"/>
      <c r="C87" s="113"/>
      <c r="D87" s="113"/>
      <c r="E87" s="113"/>
      <c r="F87" s="113"/>
      <c r="G87" s="113"/>
      <c r="H87" s="113"/>
    </row>
    <row r="88" spans="2:8" ht="12.75">
      <c r="B88" s="113"/>
      <c r="C88" s="113"/>
      <c r="D88" s="113"/>
      <c r="E88" s="113"/>
      <c r="F88" s="113"/>
      <c r="G88" s="113"/>
      <c r="H88" s="113"/>
    </row>
    <row r="89" spans="2:8" ht="12.75">
      <c r="B89" s="113"/>
      <c r="C89" s="113"/>
      <c r="D89" s="113"/>
      <c r="E89" s="113"/>
      <c r="F89" s="113"/>
      <c r="G89" s="113"/>
      <c r="H89" s="113"/>
    </row>
    <row r="90" spans="2:8" ht="12.75">
      <c r="B90" s="113"/>
      <c r="C90" s="113"/>
      <c r="D90" s="113"/>
      <c r="E90" s="113"/>
      <c r="F90" s="113"/>
      <c r="G90" s="113"/>
      <c r="H90" s="113"/>
    </row>
    <row r="91" spans="2:8" ht="12.75">
      <c r="B91" s="113"/>
      <c r="C91" s="113"/>
      <c r="D91" s="113"/>
      <c r="E91" s="113"/>
      <c r="F91" s="113"/>
      <c r="G91" s="113"/>
      <c r="H91" s="113"/>
    </row>
    <row r="92" spans="2:8" ht="12.75">
      <c r="B92" s="113"/>
      <c r="C92" s="113"/>
      <c r="D92" s="113"/>
      <c r="E92" s="113"/>
      <c r="F92" s="113"/>
      <c r="G92" s="113"/>
      <c r="H92" s="113"/>
    </row>
    <row r="93" spans="2:8" ht="12.75">
      <c r="B93" s="113"/>
      <c r="C93" s="113"/>
      <c r="D93" s="113"/>
      <c r="E93" s="113"/>
      <c r="F93" s="113"/>
      <c r="G93" s="113"/>
      <c r="H93" s="113"/>
    </row>
    <row r="94" spans="2:8" ht="12.75">
      <c r="B94" s="113"/>
      <c r="C94" s="113"/>
      <c r="D94" s="113"/>
      <c r="E94" s="113"/>
      <c r="F94" s="113"/>
      <c r="G94" s="113"/>
      <c r="H94" s="113"/>
    </row>
    <row r="95" spans="2:8" ht="12.75">
      <c r="B95" s="113"/>
      <c r="C95" s="113"/>
      <c r="D95" s="113"/>
      <c r="E95" s="113"/>
      <c r="F95" s="113"/>
      <c r="G95" s="113"/>
      <c r="H95" s="113"/>
    </row>
    <row r="96" spans="2:8" ht="12.75">
      <c r="B96" s="113"/>
      <c r="C96" s="113"/>
      <c r="D96" s="113"/>
      <c r="E96" s="113"/>
      <c r="F96" s="113"/>
      <c r="G96" s="113"/>
      <c r="H96" s="113"/>
    </row>
    <row r="97" spans="2:8" ht="12.75">
      <c r="B97" s="113"/>
      <c r="C97" s="113"/>
      <c r="D97" s="113"/>
      <c r="E97" s="113"/>
      <c r="F97" s="113"/>
      <c r="G97" s="113"/>
      <c r="H97" s="113"/>
    </row>
    <row r="98" spans="2:8" ht="12.75">
      <c r="B98" s="113"/>
      <c r="C98" s="113"/>
      <c r="D98" s="113"/>
      <c r="E98" s="113"/>
      <c r="F98" s="113"/>
      <c r="G98" s="113"/>
      <c r="H98" s="113"/>
    </row>
    <row r="99" spans="2:8" ht="12.75">
      <c r="B99" s="113"/>
      <c r="C99" s="113"/>
      <c r="D99" s="113"/>
      <c r="E99" s="113"/>
      <c r="F99" s="113"/>
      <c r="G99" s="113"/>
      <c r="H99" s="113"/>
    </row>
    <row r="100" spans="2:8" ht="12.75">
      <c r="B100" s="113"/>
      <c r="C100" s="113"/>
      <c r="D100" s="113"/>
      <c r="E100" s="113"/>
      <c r="F100" s="113"/>
      <c r="G100" s="113"/>
      <c r="H100" s="113"/>
    </row>
    <row r="101" spans="2:8" ht="12.75">
      <c r="B101" s="113"/>
      <c r="C101" s="113"/>
      <c r="D101" s="113"/>
      <c r="E101" s="113"/>
      <c r="F101" s="113"/>
      <c r="G101" s="113"/>
      <c r="H101" s="113"/>
    </row>
    <row r="102" spans="2:8" ht="12.75">
      <c r="B102" s="113"/>
      <c r="C102" s="113"/>
      <c r="D102" s="113"/>
      <c r="E102" s="113"/>
      <c r="F102" s="113"/>
      <c r="G102" s="113"/>
      <c r="H102" s="113"/>
    </row>
    <row r="103" spans="2:8" ht="12.75">
      <c r="B103" s="113"/>
      <c r="C103" s="113"/>
      <c r="D103" s="113"/>
      <c r="E103" s="113"/>
      <c r="F103" s="113"/>
      <c r="G103" s="113"/>
      <c r="H103" s="113"/>
    </row>
    <row r="104" spans="2:8" ht="12.75">
      <c r="B104" s="113"/>
      <c r="C104" s="113"/>
      <c r="D104" s="113"/>
      <c r="E104" s="113"/>
      <c r="F104" s="113"/>
      <c r="G104" s="113"/>
      <c r="H104" s="113"/>
    </row>
    <row r="105" spans="2:8" ht="12.75">
      <c r="B105" s="113"/>
      <c r="C105" s="113"/>
      <c r="D105" s="113"/>
      <c r="E105" s="113"/>
      <c r="F105" s="113"/>
      <c r="G105" s="113"/>
      <c r="H105" s="113"/>
    </row>
    <row r="106" spans="2:8" ht="12.75">
      <c r="B106" s="113"/>
      <c r="C106" s="113"/>
      <c r="D106" s="113"/>
      <c r="E106" s="113"/>
      <c r="F106" s="113"/>
      <c r="G106" s="113"/>
      <c r="H106" s="113"/>
    </row>
    <row r="107" spans="2:8" ht="12.75">
      <c r="B107" s="113"/>
      <c r="C107" s="113"/>
      <c r="D107" s="113"/>
      <c r="E107" s="113"/>
      <c r="F107" s="113"/>
      <c r="G107" s="113"/>
      <c r="H107" s="113"/>
    </row>
    <row r="108" spans="2:8" ht="12.75">
      <c r="B108" s="113"/>
      <c r="C108" s="113"/>
      <c r="D108" s="113"/>
      <c r="E108" s="113"/>
      <c r="F108" s="113"/>
      <c r="G108" s="113"/>
      <c r="H108" s="113"/>
    </row>
    <row r="109" spans="2:8" ht="12.75">
      <c r="B109" s="113"/>
      <c r="C109" s="113"/>
      <c r="D109" s="113"/>
      <c r="E109" s="113"/>
      <c r="F109" s="113"/>
      <c r="G109" s="113"/>
      <c r="H109" s="113"/>
    </row>
    <row r="110" spans="2:8" ht="12.75">
      <c r="B110" s="113"/>
      <c r="C110" s="113"/>
      <c r="D110" s="113"/>
      <c r="E110" s="113"/>
      <c r="F110" s="113"/>
      <c r="G110" s="113"/>
      <c r="H110" s="113"/>
    </row>
    <row r="111" spans="2:8" ht="12.75">
      <c r="B111" s="113"/>
      <c r="C111" s="113"/>
      <c r="D111" s="113"/>
      <c r="E111" s="113"/>
      <c r="F111" s="113"/>
      <c r="G111" s="113"/>
      <c r="H111" s="113"/>
    </row>
    <row r="112" spans="2:8" ht="12.75">
      <c r="B112" s="113"/>
      <c r="C112" s="113"/>
      <c r="D112" s="113"/>
      <c r="E112" s="113"/>
      <c r="F112" s="113"/>
      <c r="G112" s="113"/>
      <c r="H112" s="113"/>
    </row>
    <row r="113" spans="2:8" ht="12.75">
      <c r="B113" s="113"/>
      <c r="C113" s="113"/>
      <c r="D113" s="113"/>
      <c r="E113" s="113"/>
      <c r="F113" s="113"/>
      <c r="G113" s="113"/>
      <c r="H113" s="113"/>
    </row>
    <row r="114" spans="2:8" ht="12.75">
      <c r="B114" s="113"/>
      <c r="C114" s="113"/>
      <c r="D114" s="113"/>
      <c r="E114" s="113"/>
      <c r="F114" s="113"/>
      <c r="G114" s="113"/>
      <c r="H114" s="113"/>
    </row>
    <row r="115" spans="2:8" ht="12.75">
      <c r="B115" s="113"/>
      <c r="C115" s="113"/>
      <c r="D115" s="113"/>
      <c r="E115" s="113"/>
      <c r="F115" s="113"/>
      <c r="G115" s="113"/>
      <c r="H115" s="113"/>
    </row>
    <row r="116" spans="2:8" ht="12.75">
      <c r="B116" s="113"/>
      <c r="C116" s="113"/>
      <c r="D116" s="113"/>
      <c r="E116" s="113"/>
      <c r="F116" s="113"/>
      <c r="G116" s="113"/>
      <c r="H116" s="113"/>
    </row>
    <row r="117" spans="2:8" ht="12.75">
      <c r="B117" s="113"/>
      <c r="C117" s="113"/>
      <c r="D117" s="113"/>
      <c r="E117" s="113"/>
      <c r="F117" s="113"/>
      <c r="G117" s="113"/>
      <c r="H117" s="113"/>
    </row>
    <row r="118" spans="2:8" ht="12.75">
      <c r="B118" s="113"/>
      <c r="C118" s="113"/>
      <c r="D118" s="113"/>
      <c r="E118" s="113"/>
      <c r="F118" s="113"/>
      <c r="G118" s="113"/>
      <c r="H118" s="113"/>
    </row>
    <row r="119" spans="2:8" ht="12.75">
      <c r="B119" s="113"/>
      <c r="C119" s="113"/>
      <c r="D119" s="113"/>
      <c r="E119" s="113"/>
      <c r="F119" s="113"/>
      <c r="G119" s="113"/>
      <c r="H119" s="113"/>
    </row>
    <row r="120" spans="2:8" ht="12.75">
      <c r="B120" s="113"/>
      <c r="C120" s="113"/>
      <c r="D120" s="113"/>
      <c r="E120" s="113"/>
      <c r="F120" s="113"/>
      <c r="G120" s="113"/>
      <c r="H120" s="113"/>
    </row>
    <row r="121" spans="2:8" ht="12.75">
      <c r="B121" s="113"/>
      <c r="C121" s="113"/>
      <c r="D121" s="113"/>
      <c r="E121" s="113"/>
      <c r="F121" s="113"/>
      <c r="G121" s="113"/>
      <c r="H121" s="113"/>
    </row>
    <row r="122" spans="2:8" ht="12.75">
      <c r="B122" s="113"/>
      <c r="C122" s="113"/>
      <c r="D122" s="113"/>
      <c r="E122" s="113"/>
      <c r="F122" s="113"/>
      <c r="G122" s="113"/>
      <c r="H122" s="113"/>
    </row>
    <row r="123" spans="2:8" ht="12.75">
      <c r="B123" s="113"/>
      <c r="C123" s="113"/>
      <c r="D123" s="113"/>
      <c r="E123" s="113"/>
      <c r="F123" s="113"/>
      <c r="G123" s="113"/>
      <c r="H123" s="113"/>
    </row>
    <row r="124" spans="2:8" ht="12.75">
      <c r="B124" s="113"/>
      <c r="C124" s="113"/>
      <c r="D124" s="113"/>
      <c r="E124" s="113"/>
      <c r="F124" s="113"/>
      <c r="G124" s="113"/>
      <c r="H124" s="113"/>
    </row>
    <row r="125" spans="2:8" ht="12.75">
      <c r="B125" s="113"/>
      <c r="C125" s="113"/>
      <c r="D125" s="113"/>
      <c r="E125" s="113"/>
      <c r="F125" s="113"/>
      <c r="G125" s="113"/>
      <c r="H125" s="113"/>
    </row>
    <row r="126" spans="2:8" ht="12.75">
      <c r="B126" s="113"/>
      <c r="C126" s="113"/>
      <c r="D126" s="113"/>
      <c r="E126" s="113"/>
      <c r="F126" s="113"/>
      <c r="G126" s="113"/>
      <c r="H126" s="113"/>
    </row>
    <row r="127" spans="2:8" ht="12.75">
      <c r="B127" s="113"/>
      <c r="C127" s="113"/>
      <c r="D127" s="113"/>
      <c r="E127" s="113"/>
      <c r="F127" s="113"/>
      <c r="G127" s="113"/>
      <c r="H127" s="113"/>
    </row>
    <row r="128" spans="2:8" ht="12.75">
      <c r="B128" s="113"/>
      <c r="C128" s="113"/>
      <c r="D128" s="113"/>
      <c r="E128" s="113"/>
      <c r="F128" s="113"/>
      <c r="G128" s="113"/>
      <c r="H128" s="113"/>
    </row>
    <row r="129" spans="2:8" ht="12.75">
      <c r="B129" s="113"/>
      <c r="C129" s="113"/>
      <c r="D129" s="113"/>
      <c r="E129" s="113"/>
      <c r="F129" s="113"/>
      <c r="G129" s="113"/>
      <c r="H129" s="113"/>
    </row>
    <row r="130" spans="2:8" ht="12.75">
      <c r="B130" s="113"/>
      <c r="C130" s="113"/>
      <c r="D130" s="113"/>
      <c r="E130" s="113"/>
      <c r="F130" s="113"/>
      <c r="G130" s="113"/>
      <c r="H130" s="113"/>
    </row>
    <row r="131" spans="2:8" ht="12.75">
      <c r="B131" s="113"/>
      <c r="C131" s="113"/>
      <c r="D131" s="113"/>
      <c r="E131" s="113"/>
      <c r="F131" s="113"/>
      <c r="G131" s="113"/>
      <c r="H131" s="113"/>
    </row>
    <row r="132" spans="2:8" ht="12.75">
      <c r="B132" s="113"/>
      <c r="C132" s="113"/>
      <c r="D132" s="113"/>
      <c r="E132" s="113"/>
      <c r="F132" s="113"/>
      <c r="G132" s="113"/>
      <c r="H132" s="113"/>
    </row>
    <row r="133" spans="2:8" ht="12.75">
      <c r="B133" s="113"/>
      <c r="C133" s="113"/>
      <c r="D133" s="113"/>
      <c r="E133" s="113"/>
      <c r="F133" s="113"/>
      <c r="G133" s="113"/>
      <c r="H133" s="113"/>
    </row>
    <row r="134" spans="2:8" ht="12.75">
      <c r="B134" s="113"/>
      <c r="C134" s="113"/>
      <c r="D134" s="113"/>
      <c r="E134" s="113"/>
      <c r="F134" s="113"/>
      <c r="G134" s="113"/>
      <c r="H134" s="113"/>
    </row>
    <row r="135" spans="2:8" ht="12.75">
      <c r="B135" s="113"/>
      <c r="C135" s="113"/>
      <c r="D135" s="113"/>
      <c r="E135" s="113"/>
      <c r="F135" s="113"/>
      <c r="G135" s="113"/>
      <c r="H135" s="113"/>
    </row>
    <row r="136" spans="2:8" ht="12.75">
      <c r="B136" s="113"/>
      <c r="C136" s="113"/>
      <c r="D136" s="113"/>
      <c r="E136" s="113"/>
      <c r="F136" s="113"/>
      <c r="G136" s="113"/>
      <c r="H136" s="113"/>
    </row>
    <row r="137" spans="2:8" ht="12.75">
      <c r="B137" s="113"/>
      <c r="C137" s="113"/>
      <c r="D137" s="113"/>
      <c r="E137" s="113"/>
      <c r="F137" s="113"/>
      <c r="G137" s="113"/>
      <c r="H137" s="113"/>
    </row>
    <row r="138" spans="2:8" ht="12.75">
      <c r="B138" s="113"/>
      <c r="C138" s="113"/>
      <c r="D138" s="113"/>
      <c r="E138" s="113"/>
      <c r="F138" s="113"/>
      <c r="G138" s="113"/>
      <c r="H138" s="113"/>
    </row>
    <row r="139" spans="2:8" ht="12.75">
      <c r="B139" s="113"/>
      <c r="C139" s="113"/>
      <c r="D139" s="113"/>
      <c r="E139" s="113"/>
      <c r="F139" s="113"/>
      <c r="G139" s="113"/>
      <c r="H139" s="113"/>
    </row>
    <row r="140" spans="2:8" ht="12.75">
      <c r="B140" s="113"/>
      <c r="C140" s="113"/>
      <c r="D140" s="113"/>
      <c r="E140" s="113"/>
      <c r="F140" s="113"/>
      <c r="G140" s="113"/>
      <c r="H140" s="113"/>
    </row>
    <row r="141" spans="2:8" ht="12.75">
      <c r="B141" s="113"/>
      <c r="C141" s="113"/>
      <c r="D141" s="113"/>
      <c r="E141" s="113"/>
      <c r="F141" s="113"/>
      <c r="G141" s="113"/>
      <c r="H141" s="113"/>
    </row>
    <row r="142" spans="2:8" ht="12.75">
      <c r="B142" s="113"/>
      <c r="C142" s="113"/>
      <c r="D142" s="113"/>
      <c r="E142" s="113"/>
      <c r="F142" s="113"/>
      <c r="G142" s="113"/>
      <c r="H142" s="113"/>
    </row>
    <row r="143" spans="2:8" ht="12.75">
      <c r="B143" s="113"/>
      <c r="C143" s="113"/>
      <c r="D143" s="113"/>
      <c r="E143" s="113"/>
      <c r="F143" s="113"/>
      <c r="G143" s="113"/>
      <c r="H143" s="113"/>
    </row>
    <row r="144" spans="2:8" ht="12.75">
      <c r="B144" s="113"/>
      <c r="C144" s="113"/>
      <c r="D144" s="113"/>
      <c r="E144" s="113"/>
      <c r="F144" s="113"/>
      <c r="G144" s="113"/>
      <c r="H144" s="113"/>
    </row>
    <row r="145" spans="2:8" ht="12.75">
      <c r="B145" s="113"/>
      <c r="C145" s="113"/>
      <c r="D145" s="113"/>
      <c r="E145" s="113"/>
      <c r="F145" s="113"/>
      <c r="G145" s="113"/>
      <c r="H145" s="113"/>
    </row>
    <row r="146" spans="2:8" ht="12.75">
      <c r="B146" s="113"/>
      <c r="C146" s="113"/>
      <c r="D146" s="113"/>
      <c r="E146" s="113"/>
      <c r="F146" s="113"/>
      <c r="G146" s="113"/>
      <c r="H146" s="113"/>
    </row>
    <row r="147" spans="2:8" ht="12.75">
      <c r="B147" s="113"/>
      <c r="C147" s="113"/>
      <c r="D147" s="113"/>
      <c r="E147" s="113"/>
      <c r="F147" s="113"/>
      <c r="G147" s="113"/>
      <c r="H147" s="113"/>
    </row>
    <row r="148" spans="2:8" ht="12.75">
      <c r="B148" s="113"/>
      <c r="C148" s="113"/>
      <c r="D148" s="113"/>
      <c r="E148" s="113"/>
      <c r="F148" s="113"/>
      <c r="G148" s="113"/>
      <c r="H148" s="113"/>
    </row>
    <row r="149" spans="2:8" ht="12.75">
      <c r="B149" s="113"/>
      <c r="C149" s="113"/>
      <c r="D149" s="113"/>
      <c r="E149" s="113"/>
      <c r="F149" s="113"/>
      <c r="G149" s="113"/>
      <c r="H149" s="113"/>
    </row>
    <row r="150" spans="2:8" ht="12.75">
      <c r="B150" s="113"/>
      <c r="C150" s="113"/>
      <c r="D150" s="113"/>
      <c r="E150" s="113"/>
      <c r="F150" s="113"/>
      <c r="G150" s="113"/>
      <c r="H150" s="113"/>
    </row>
    <row r="151" spans="2:8" ht="12.75">
      <c r="B151" s="113"/>
      <c r="C151" s="113"/>
      <c r="D151" s="113"/>
      <c r="E151" s="113"/>
      <c r="F151" s="113"/>
      <c r="G151" s="113"/>
      <c r="H151" s="113"/>
    </row>
    <row r="152" spans="2:8" ht="12.75">
      <c r="B152" s="113"/>
      <c r="C152" s="113"/>
      <c r="D152" s="113"/>
      <c r="E152" s="113"/>
      <c r="F152" s="113"/>
      <c r="G152" s="113"/>
      <c r="H152" s="113"/>
    </row>
    <row r="153" spans="2:8" ht="12.75">
      <c r="B153" s="113"/>
      <c r="C153" s="113"/>
      <c r="D153" s="113"/>
      <c r="E153" s="113"/>
      <c r="F153" s="113"/>
      <c r="G153" s="113"/>
      <c r="H153" s="113"/>
    </row>
    <row r="154" spans="2:8" ht="12.75">
      <c r="B154" s="113"/>
      <c r="C154" s="113"/>
      <c r="D154" s="113"/>
      <c r="E154" s="113"/>
      <c r="F154" s="113"/>
      <c r="G154" s="113"/>
      <c r="H154" s="113"/>
    </row>
    <row r="155" spans="2:8" ht="12.75">
      <c r="B155" s="113"/>
      <c r="C155" s="113"/>
      <c r="D155" s="113"/>
      <c r="E155" s="113"/>
      <c r="F155" s="113"/>
      <c r="G155" s="113"/>
      <c r="H155" s="113"/>
    </row>
    <row r="156" spans="2:8" ht="12.75">
      <c r="B156" s="113"/>
      <c r="C156" s="113"/>
      <c r="D156" s="113"/>
      <c r="E156" s="113"/>
      <c r="F156" s="113"/>
      <c r="G156" s="113"/>
      <c r="H156" s="113"/>
    </row>
    <row r="157" spans="2:8" ht="12.75">
      <c r="B157" s="113"/>
      <c r="C157" s="113"/>
      <c r="D157" s="113"/>
      <c r="E157" s="113"/>
      <c r="F157" s="113"/>
      <c r="G157" s="113"/>
      <c r="H157" s="113"/>
    </row>
    <row r="158" spans="2:8" ht="12.75">
      <c r="B158" s="113"/>
      <c r="C158" s="113"/>
      <c r="D158" s="113"/>
      <c r="E158" s="113"/>
      <c r="F158" s="113"/>
      <c r="G158" s="113"/>
      <c r="H158" s="113"/>
    </row>
    <row r="159" spans="2:8" ht="12.75">
      <c r="B159" s="113"/>
      <c r="C159" s="113"/>
      <c r="D159" s="113"/>
      <c r="E159" s="113"/>
      <c r="F159" s="113"/>
      <c r="G159" s="113"/>
      <c r="H159" s="113"/>
    </row>
    <row r="160" spans="2:8" ht="12.75">
      <c r="B160" s="113"/>
      <c r="C160" s="113"/>
      <c r="D160" s="113"/>
      <c r="E160" s="113"/>
      <c r="F160" s="113"/>
      <c r="G160" s="113"/>
      <c r="H160" s="113"/>
    </row>
    <row r="161" spans="2:8" ht="12.75">
      <c r="B161" s="113"/>
      <c r="C161" s="113"/>
      <c r="D161" s="113"/>
      <c r="E161" s="113"/>
      <c r="F161" s="113"/>
      <c r="G161" s="113"/>
      <c r="H161" s="113"/>
    </row>
    <row r="162" spans="2:8" ht="12.75">
      <c r="B162" s="113"/>
      <c r="C162" s="113"/>
      <c r="D162" s="113"/>
      <c r="E162" s="113"/>
      <c r="F162" s="113"/>
      <c r="G162" s="113"/>
      <c r="H162" s="113"/>
    </row>
    <row r="163" spans="2:8" ht="12.75">
      <c r="B163" s="113"/>
      <c r="C163" s="113"/>
      <c r="D163" s="113"/>
      <c r="E163" s="113"/>
      <c r="F163" s="113"/>
      <c r="G163" s="113"/>
      <c r="H163" s="113"/>
    </row>
    <row r="164" spans="2:8" ht="12.75">
      <c r="B164" s="113"/>
      <c r="C164" s="113"/>
      <c r="D164" s="113"/>
      <c r="E164" s="113"/>
      <c r="F164" s="113"/>
      <c r="G164" s="113"/>
      <c r="H164" s="113"/>
    </row>
    <row r="165" spans="2:8" ht="12.75">
      <c r="B165" s="113"/>
      <c r="C165" s="113"/>
      <c r="D165" s="113"/>
      <c r="E165" s="113"/>
      <c r="F165" s="113"/>
      <c r="G165" s="113"/>
      <c r="H165" s="113"/>
    </row>
    <row r="166" spans="2:8" ht="12.75">
      <c r="B166" s="113"/>
      <c r="C166" s="113"/>
      <c r="D166" s="113"/>
      <c r="E166" s="113"/>
      <c r="F166" s="113"/>
      <c r="G166" s="113"/>
      <c r="H166" s="113"/>
    </row>
    <row r="167" spans="2:8" ht="12.75">
      <c r="B167" s="113"/>
      <c r="C167" s="113"/>
      <c r="D167" s="113"/>
      <c r="E167" s="113"/>
      <c r="F167" s="113"/>
      <c r="G167" s="113"/>
      <c r="H167" s="113"/>
    </row>
    <row r="168" spans="2:8" ht="12.75">
      <c r="B168" s="113"/>
      <c r="C168" s="113"/>
      <c r="D168" s="113"/>
      <c r="E168" s="113"/>
      <c r="F168" s="113"/>
      <c r="G168" s="113"/>
      <c r="H168" s="113"/>
    </row>
    <row r="169" spans="2:8" ht="12.75">
      <c r="B169" s="113"/>
      <c r="C169" s="113"/>
      <c r="D169" s="113"/>
      <c r="E169" s="113"/>
      <c r="F169" s="113"/>
      <c r="G169" s="113"/>
      <c r="H169" s="113"/>
    </row>
    <row r="170" spans="2:8" ht="12.75">
      <c r="B170" s="113"/>
      <c r="C170" s="113"/>
      <c r="D170" s="113"/>
      <c r="E170" s="113"/>
      <c r="F170" s="113"/>
      <c r="G170" s="113"/>
      <c r="H170" s="113"/>
    </row>
    <row r="171" spans="2:8" ht="12.75">
      <c r="B171" s="113"/>
      <c r="C171" s="113"/>
      <c r="D171" s="113"/>
      <c r="E171" s="113"/>
      <c r="F171" s="113"/>
      <c r="G171" s="113"/>
      <c r="H171" s="113"/>
    </row>
    <row r="172" spans="2:8" ht="12.75">
      <c r="B172" s="113"/>
      <c r="C172" s="113"/>
      <c r="D172" s="113"/>
      <c r="E172" s="113"/>
      <c r="F172" s="113"/>
      <c r="G172" s="113"/>
      <c r="H172" s="113"/>
    </row>
    <row r="173" spans="2:8" ht="12.75">
      <c r="B173" s="113"/>
      <c r="C173" s="113"/>
      <c r="D173" s="113"/>
      <c r="E173" s="113"/>
      <c r="F173" s="113"/>
      <c r="G173" s="113"/>
      <c r="H173" s="113"/>
    </row>
    <row r="174" spans="2:8" ht="12.75">
      <c r="B174" s="113"/>
      <c r="C174" s="113"/>
      <c r="D174" s="113"/>
      <c r="E174" s="113"/>
      <c r="F174" s="113"/>
      <c r="G174" s="113"/>
      <c r="H174" s="113"/>
    </row>
    <row r="175" spans="2:8" ht="12.75">
      <c r="B175" s="113"/>
      <c r="C175" s="113"/>
      <c r="D175" s="113"/>
      <c r="E175" s="113"/>
      <c r="F175" s="113"/>
      <c r="G175" s="113"/>
      <c r="H175" s="113"/>
    </row>
    <row r="176" spans="2:8" ht="12.75">
      <c r="B176" s="113"/>
      <c r="C176" s="113"/>
      <c r="D176" s="113"/>
      <c r="E176" s="113"/>
      <c r="F176" s="113"/>
      <c r="G176" s="113"/>
      <c r="H176" s="113"/>
    </row>
    <row r="177" spans="2:8" ht="12.75">
      <c r="B177" s="113"/>
      <c r="C177" s="113"/>
      <c r="D177" s="113"/>
      <c r="E177" s="113"/>
      <c r="F177" s="113"/>
      <c r="G177" s="113"/>
      <c r="H177" s="113"/>
    </row>
    <row r="178" spans="2:8" ht="12.75">
      <c r="B178" s="113"/>
      <c r="C178" s="113"/>
      <c r="D178" s="113"/>
      <c r="E178" s="113"/>
      <c r="F178" s="113"/>
      <c r="G178" s="113"/>
      <c r="H178" s="113"/>
    </row>
    <row r="179" spans="2:8" ht="12.75">
      <c r="B179" s="113"/>
      <c r="C179" s="113"/>
      <c r="D179" s="113"/>
      <c r="E179" s="113"/>
      <c r="F179" s="113"/>
      <c r="G179" s="113"/>
      <c r="H179" s="113"/>
    </row>
    <row r="180" spans="2:8" ht="12.75">
      <c r="B180" s="113"/>
      <c r="C180" s="113"/>
      <c r="D180" s="113"/>
      <c r="E180" s="113"/>
      <c r="F180" s="113"/>
      <c r="G180" s="113"/>
      <c r="H180" s="113"/>
    </row>
    <row r="181" spans="2:8" ht="12.75">
      <c r="B181" s="113"/>
      <c r="C181" s="113"/>
      <c r="D181" s="113"/>
      <c r="E181" s="113"/>
      <c r="F181" s="113"/>
      <c r="G181" s="113"/>
      <c r="H181" s="113"/>
    </row>
    <row r="182" spans="2:8" ht="12.75">
      <c r="B182" s="113"/>
      <c r="C182" s="113"/>
      <c r="D182" s="113"/>
      <c r="E182" s="113"/>
      <c r="F182" s="113"/>
      <c r="G182" s="113"/>
      <c r="H182" s="113"/>
    </row>
    <row r="183" spans="2:8" ht="12.75">
      <c r="B183" s="113"/>
      <c r="C183" s="113"/>
      <c r="D183" s="113"/>
      <c r="E183" s="113"/>
      <c r="F183" s="113"/>
      <c r="G183" s="113"/>
      <c r="H183" s="113"/>
    </row>
    <row r="184" spans="2:8" ht="12.75">
      <c r="B184" s="113"/>
      <c r="C184" s="113"/>
      <c r="D184" s="113"/>
      <c r="E184" s="113"/>
      <c r="F184" s="113"/>
      <c r="G184" s="113"/>
      <c r="H184" s="113"/>
    </row>
    <row r="185" spans="2:8" ht="12.75">
      <c r="B185" s="113"/>
      <c r="C185" s="113"/>
      <c r="D185" s="113"/>
      <c r="E185" s="113"/>
      <c r="F185" s="113"/>
      <c r="G185" s="113"/>
      <c r="H185" s="113"/>
    </row>
    <row r="186" spans="2:8" ht="12.75">
      <c r="B186" s="113"/>
      <c r="C186" s="113"/>
      <c r="D186" s="113"/>
      <c r="E186" s="113"/>
      <c r="F186" s="113"/>
      <c r="G186" s="113"/>
      <c r="H186" s="113"/>
    </row>
    <row r="187" spans="2:8" ht="12.75">
      <c r="B187" s="113"/>
      <c r="C187" s="113"/>
      <c r="D187" s="113"/>
      <c r="E187" s="113"/>
      <c r="F187" s="113"/>
      <c r="G187" s="113"/>
      <c r="H187" s="113"/>
    </row>
    <row r="188" spans="2:8" ht="12.75">
      <c r="B188" s="113"/>
      <c r="C188" s="113"/>
      <c r="D188" s="113"/>
      <c r="E188" s="113"/>
      <c r="F188" s="113"/>
      <c r="G188" s="113"/>
      <c r="H188" s="113"/>
    </row>
    <row r="189" spans="2:8" ht="12.75">
      <c r="B189" s="113"/>
      <c r="C189" s="113"/>
      <c r="D189" s="113"/>
      <c r="E189" s="113"/>
      <c r="F189" s="113"/>
      <c r="G189" s="113"/>
      <c r="H189" s="113"/>
    </row>
    <row r="190" spans="2:8" ht="12.75">
      <c r="B190" s="113"/>
      <c r="C190" s="113"/>
      <c r="D190" s="113"/>
      <c r="E190" s="113"/>
      <c r="F190" s="113"/>
      <c r="G190" s="113"/>
      <c r="H190" s="113"/>
    </row>
    <row r="191" spans="2:8" ht="12.75">
      <c r="B191" s="113"/>
      <c r="C191" s="113"/>
      <c r="D191" s="113"/>
      <c r="E191" s="113"/>
      <c r="F191" s="113"/>
      <c r="G191" s="113"/>
      <c r="H191" s="113"/>
    </row>
    <row r="192" spans="2:8" ht="12.75">
      <c r="B192" s="113"/>
      <c r="C192" s="113"/>
      <c r="D192" s="113"/>
      <c r="E192" s="113"/>
      <c r="F192" s="113"/>
      <c r="G192" s="113"/>
      <c r="H192" s="113"/>
    </row>
    <row r="193" spans="2:8" ht="12.75">
      <c r="B193" s="113"/>
      <c r="C193" s="113"/>
      <c r="D193" s="113"/>
      <c r="E193" s="113"/>
      <c r="F193" s="113"/>
      <c r="G193" s="113"/>
      <c r="H193" s="113"/>
    </row>
    <row r="194" spans="2:8" ht="12.75">
      <c r="B194" s="113"/>
      <c r="C194" s="113"/>
      <c r="D194" s="113"/>
      <c r="E194" s="113"/>
      <c r="F194" s="113"/>
      <c r="G194" s="113"/>
      <c r="H194" s="113"/>
    </row>
    <row r="195" spans="2:8" ht="12.75">
      <c r="B195" s="113"/>
      <c r="C195" s="113"/>
      <c r="D195" s="113"/>
      <c r="E195" s="113"/>
      <c r="F195" s="113"/>
      <c r="G195" s="113"/>
      <c r="H195" s="113"/>
    </row>
    <row r="196" spans="2:8" ht="12.75">
      <c r="B196" s="113"/>
      <c r="C196" s="113"/>
      <c r="D196" s="113"/>
      <c r="E196" s="113"/>
      <c r="F196" s="113"/>
      <c r="G196" s="113"/>
      <c r="H196" s="113"/>
    </row>
    <row r="197" spans="2:8" ht="12.75">
      <c r="B197" s="113"/>
      <c r="C197" s="113"/>
      <c r="D197" s="113"/>
      <c r="E197" s="113"/>
      <c r="F197" s="113"/>
      <c r="G197" s="113"/>
      <c r="H197" s="113"/>
    </row>
    <row r="198" spans="2:8" ht="12.75">
      <c r="B198" s="113"/>
      <c r="C198" s="113"/>
      <c r="D198" s="113"/>
      <c r="E198" s="113"/>
      <c r="F198" s="113"/>
      <c r="G198" s="113"/>
      <c r="H198" s="113"/>
    </row>
    <row r="199" spans="2:8" ht="12.75">
      <c r="B199" s="113"/>
      <c r="C199" s="113"/>
      <c r="D199" s="113"/>
      <c r="E199" s="113"/>
      <c r="F199" s="113"/>
      <c r="G199" s="113"/>
      <c r="H199" s="113"/>
    </row>
    <row r="200" spans="2:8" ht="12.75">
      <c r="B200" s="113"/>
      <c r="C200" s="113"/>
      <c r="D200" s="113"/>
      <c r="E200" s="113"/>
      <c r="F200" s="113"/>
      <c r="G200" s="113"/>
      <c r="H200" s="113"/>
    </row>
    <row r="201" spans="2:8" ht="12.75">
      <c r="B201" s="113"/>
      <c r="C201" s="113"/>
      <c r="D201" s="113"/>
      <c r="E201" s="113"/>
      <c r="F201" s="113"/>
      <c r="G201" s="113"/>
      <c r="H201" s="113"/>
    </row>
    <row r="202" spans="2:8" ht="12.75">
      <c r="B202" s="113"/>
      <c r="C202" s="113"/>
      <c r="D202" s="113"/>
      <c r="E202" s="113"/>
      <c r="F202" s="113"/>
      <c r="G202" s="113"/>
      <c r="H202" s="113"/>
    </row>
    <row r="203" spans="2:8" ht="12.75">
      <c r="B203" s="113"/>
      <c r="C203" s="113"/>
      <c r="D203" s="113"/>
      <c r="E203" s="113"/>
      <c r="F203" s="113"/>
      <c r="G203" s="113"/>
      <c r="H203" s="113"/>
    </row>
    <row r="204" spans="2:8" ht="12.75">
      <c r="B204" s="113"/>
      <c r="C204" s="113"/>
      <c r="D204" s="113"/>
      <c r="E204" s="113"/>
      <c r="F204" s="113"/>
      <c r="G204" s="113"/>
      <c r="H204" s="113"/>
    </row>
    <row r="205" spans="2:8" ht="12.75">
      <c r="B205" s="113"/>
      <c r="C205" s="113"/>
      <c r="D205" s="113"/>
      <c r="E205" s="113"/>
      <c r="F205" s="113"/>
      <c r="G205" s="113"/>
      <c r="H205" s="113"/>
    </row>
    <row r="206" spans="2:8" ht="12.75">
      <c r="B206" s="113"/>
      <c r="C206" s="113"/>
      <c r="D206" s="113"/>
      <c r="E206" s="113"/>
      <c r="F206" s="113"/>
      <c r="G206" s="113"/>
      <c r="H206" s="113"/>
    </row>
    <row r="207" spans="2:8" ht="12.75">
      <c r="B207" s="113"/>
      <c r="C207" s="113"/>
      <c r="D207" s="113"/>
      <c r="E207" s="113"/>
      <c r="F207" s="113"/>
      <c r="G207" s="113"/>
      <c r="H207" s="113"/>
    </row>
    <row r="208" spans="2:8" ht="12.75">
      <c r="B208" s="113"/>
      <c r="C208" s="113"/>
      <c r="D208" s="113"/>
      <c r="E208" s="113"/>
      <c r="F208" s="113"/>
      <c r="G208" s="113"/>
      <c r="H208" s="113"/>
    </row>
    <row r="209" spans="2:8" ht="12.75">
      <c r="B209" s="113"/>
      <c r="C209" s="113"/>
      <c r="D209" s="113"/>
      <c r="E209" s="113"/>
      <c r="F209" s="113"/>
      <c r="G209" s="113"/>
      <c r="H209" s="113"/>
    </row>
    <row r="210" spans="2:8" ht="12.75">
      <c r="B210" s="113"/>
      <c r="C210" s="113"/>
      <c r="D210" s="113"/>
      <c r="E210" s="113"/>
      <c r="F210" s="113"/>
      <c r="G210" s="113"/>
      <c r="H210" s="113"/>
    </row>
    <row r="211" spans="2:8" ht="12.75">
      <c r="B211" s="113"/>
      <c r="C211" s="113"/>
      <c r="D211" s="113"/>
      <c r="E211" s="113"/>
      <c r="F211" s="113"/>
      <c r="G211" s="113"/>
      <c r="H211" s="113"/>
    </row>
    <row r="212" spans="2:8" ht="12.75">
      <c r="B212" s="113"/>
      <c r="C212" s="113"/>
      <c r="D212" s="113"/>
      <c r="E212" s="113"/>
      <c r="F212" s="113"/>
      <c r="G212" s="113"/>
      <c r="H212" s="113"/>
    </row>
    <row r="213" spans="2:8" ht="12.75">
      <c r="B213" s="113"/>
      <c r="C213" s="113"/>
      <c r="D213" s="113"/>
      <c r="E213" s="113"/>
      <c r="F213" s="113"/>
      <c r="G213" s="113"/>
      <c r="H213" s="113"/>
    </row>
    <row r="214" spans="2:8" ht="12.75">
      <c r="B214" s="113"/>
      <c r="C214" s="113"/>
      <c r="D214" s="113"/>
      <c r="E214" s="113"/>
      <c r="F214" s="113"/>
      <c r="G214" s="113"/>
      <c r="H214" s="113"/>
    </row>
    <row r="215" spans="2:8" ht="12.75">
      <c r="B215" s="113"/>
      <c r="C215" s="113"/>
      <c r="D215" s="113"/>
      <c r="E215" s="113"/>
      <c r="F215" s="113"/>
      <c r="G215" s="113"/>
      <c r="H215" s="113"/>
    </row>
    <row r="216" spans="2:8" ht="12.75">
      <c r="B216" s="113"/>
      <c r="C216" s="113"/>
      <c r="D216" s="113"/>
      <c r="E216" s="113"/>
      <c r="F216" s="113"/>
      <c r="G216" s="113"/>
      <c r="H216" s="113"/>
    </row>
    <row r="217" spans="2:8" ht="12.75">
      <c r="B217" s="113"/>
      <c r="C217" s="113"/>
      <c r="D217" s="113"/>
      <c r="E217" s="113"/>
      <c r="F217" s="113"/>
      <c r="G217" s="113"/>
      <c r="H217" s="113"/>
    </row>
    <row r="218" spans="2:8" ht="12.75">
      <c r="B218" s="113"/>
      <c r="C218" s="113"/>
      <c r="D218" s="113"/>
      <c r="E218" s="113"/>
      <c r="F218" s="113"/>
      <c r="G218" s="113"/>
      <c r="H218" s="113"/>
    </row>
    <row r="219" spans="2:8" ht="12.75">
      <c r="B219" s="113"/>
      <c r="C219" s="113"/>
      <c r="D219" s="113"/>
      <c r="E219" s="113"/>
      <c r="F219" s="113"/>
      <c r="G219" s="113"/>
      <c r="H219" s="113"/>
    </row>
    <row r="220" spans="2:8" ht="12.75">
      <c r="B220" s="113"/>
      <c r="C220" s="113"/>
      <c r="D220" s="113"/>
      <c r="E220" s="113"/>
      <c r="F220" s="113"/>
      <c r="G220" s="113"/>
      <c r="H220" s="113"/>
    </row>
    <row r="221" spans="2:8" ht="12.75">
      <c r="B221" s="113"/>
      <c r="C221" s="113"/>
      <c r="D221" s="113"/>
      <c r="E221" s="113"/>
      <c r="F221" s="113"/>
      <c r="G221" s="113"/>
      <c r="H221" s="113"/>
    </row>
    <row r="222" spans="2:8" ht="12.75">
      <c r="B222" s="113"/>
      <c r="C222" s="113"/>
      <c r="D222" s="113"/>
      <c r="E222" s="113"/>
      <c r="F222" s="113"/>
      <c r="G222" s="113"/>
      <c r="H222" s="113"/>
    </row>
    <row r="223" spans="2:8" ht="12.75">
      <c r="B223" s="113"/>
      <c r="C223" s="113"/>
      <c r="D223" s="113"/>
      <c r="E223" s="113"/>
      <c r="F223" s="113"/>
      <c r="G223" s="113"/>
      <c r="H223" s="113"/>
    </row>
    <row r="224" spans="2:8" ht="12.75">
      <c r="B224" s="113"/>
      <c r="C224" s="113"/>
      <c r="D224" s="113"/>
      <c r="E224" s="113"/>
      <c r="F224" s="113"/>
      <c r="G224" s="113"/>
      <c r="H224" s="113"/>
    </row>
    <row r="225" spans="2:8" ht="12.75">
      <c r="B225" s="113"/>
      <c r="C225" s="113"/>
      <c r="D225" s="113"/>
      <c r="E225" s="113"/>
      <c r="F225" s="113"/>
      <c r="G225" s="113"/>
      <c r="H225" s="113"/>
    </row>
    <row r="226" spans="2:8" ht="12.75">
      <c r="B226" s="113"/>
      <c r="C226" s="113"/>
      <c r="D226" s="113"/>
      <c r="E226" s="113"/>
      <c r="F226" s="113"/>
      <c r="G226" s="113"/>
      <c r="H226" s="113"/>
    </row>
    <row r="227" spans="2:8" ht="12.75">
      <c r="B227" s="113"/>
      <c r="C227" s="113"/>
      <c r="D227" s="113"/>
      <c r="E227" s="113"/>
      <c r="F227" s="113"/>
      <c r="G227" s="113"/>
      <c r="H227" s="113"/>
    </row>
    <row r="228" spans="2:8" ht="12.75">
      <c r="B228" s="113"/>
      <c r="C228" s="113"/>
      <c r="D228" s="113"/>
      <c r="E228" s="113"/>
      <c r="F228" s="113"/>
      <c r="G228" s="113"/>
      <c r="H228" s="113"/>
    </row>
    <row r="229" spans="2:8" ht="12.75">
      <c r="B229" s="113"/>
      <c r="C229" s="113"/>
      <c r="D229" s="113"/>
      <c r="E229" s="113"/>
      <c r="F229" s="113"/>
      <c r="G229" s="113"/>
      <c r="H229" s="113"/>
    </row>
    <row r="230" spans="2:8" ht="12.75">
      <c r="B230" s="113"/>
      <c r="C230" s="113"/>
      <c r="D230" s="113"/>
      <c r="E230" s="113"/>
      <c r="F230" s="113"/>
      <c r="G230" s="113"/>
      <c r="H230" s="113"/>
    </row>
    <row r="231" spans="2:8" ht="12.75">
      <c r="B231" s="113"/>
      <c r="C231" s="113"/>
      <c r="D231" s="113"/>
      <c r="E231" s="113"/>
      <c r="F231" s="113"/>
      <c r="G231" s="113"/>
      <c r="H231" s="113"/>
    </row>
    <row r="232" spans="2:8" ht="12.75">
      <c r="B232" s="113"/>
      <c r="C232" s="113"/>
      <c r="D232" s="113"/>
      <c r="E232" s="113"/>
      <c r="F232" s="113"/>
      <c r="G232" s="113"/>
      <c r="H232" s="113"/>
    </row>
    <row r="233" spans="2:8" ht="12.75">
      <c r="B233" s="113"/>
      <c r="C233" s="113"/>
      <c r="D233" s="113"/>
      <c r="E233" s="113"/>
      <c r="F233" s="113"/>
      <c r="G233" s="113"/>
      <c r="H233" s="113"/>
    </row>
    <row r="234" spans="2:8" ht="12.75">
      <c r="B234" s="113"/>
      <c r="C234" s="113"/>
      <c r="D234" s="113"/>
      <c r="E234" s="113"/>
      <c r="F234" s="113"/>
      <c r="G234" s="113"/>
      <c r="H234" s="113"/>
    </row>
    <row r="235" spans="2:8" ht="12.75">
      <c r="B235" s="113"/>
      <c r="C235" s="113"/>
      <c r="D235" s="113"/>
      <c r="E235" s="113"/>
      <c r="F235" s="113"/>
      <c r="G235" s="113"/>
      <c r="H235" s="113"/>
    </row>
    <row r="236" spans="2:8" ht="12.75">
      <c r="B236" s="113"/>
      <c r="C236" s="113"/>
      <c r="D236" s="113"/>
      <c r="E236" s="113"/>
      <c r="F236" s="113"/>
      <c r="G236" s="113"/>
      <c r="H236" s="113"/>
    </row>
    <row r="237" spans="2:8" ht="12.75">
      <c r="B237" s="113"/>
      <c r="C237" s="113"/>
      <c r="D237" s="113"/>
      <c r="E237" s="113"/>
      <c r="F237" s="113"/>
      <c r="G237" s="113"/>
      <c r="H237" s="113"/>
    </row>
    <row r="238" spans="2:8" ht="12.75">
      <c r="B238" s="113"/>
      <c r="C238" s="113"/>
      <c r="D238" s="113"/>
      <c r="E238" s="113"/>
      <c r="F238" s="113"/>
      <c r="G238" s="113"/>
      <c r="H238" s="113"/>
    </row>
    <row r="239" spans="2:8" ht="12.75">
      <c r="B239" s="113"/>
      <c r="C239" s="113"/>
      <c r="D239" s="113"/>
      <c r="E239" s="113"/>
      <c r="F239" s="113"/>
      <c r="G239" s="113"/>
      <c r="H239" s="113"/>
    </row>
    <row r="240" spans="2:8" ht="12.75">
      <c r="B240" s="113"/>
      <c r="C240" s="113"/>
      <c r="D240" s="113"/>
      <c r="E240" s="113"/>
      <c r="F240" s="113"/>
      <c r="G240" s="113"/>
      <c r="H240" s="113"/>
    </row>
    <row r="241" spans="2:8" ht="12.75">
      <c r="B241" s="113"/>
      <c r="C241" s="113"/>
      <c r="D241" s="113"/>
      <c r="E241" s="113"/>
      <c r="F241" s="113"/>
      <c r="G241" s="113"/>
      <c r="H241" s="113"/>
    </row>
    <row r="242" spans="2:8" ht="12.75">
      <c r="B242" s="113"/>
      <c r="C242" s="113"/>
      <c r="D242" s="113"/>
      <c r="E242" s="113"/>
      <c r="F242" s="113"/>
      <c r="G242" s="113"/>
      <c r="H242" s="113"/>
    </row>
    <row r="243" spans="2:8" ht="12.75">
      <c r="B243" s="113"/>
      <c r="C243" s="113"/>
      <c r="D243" s="113"/>
      <c r="E243" s="113"/>
      <c r="F243" s="113"/>
      <c r="G243" s="113"/>
      <c r="H243" s="113"/>
    </row>
    <row r="244" spans="2:8" ht="12.75">
      <c r="B244" s="113"/>
      <c r="C244" s="113"/>
      <c r="D244" s="113"/>
      <c r="E244" s="113"/>
      <c r="F244" s="113"/>
      <c r="G244" s="113"/>
      <c r="H244" s="113"/>
    </row>
    <row r="245" spans="2:8" ht="12.75">
      <c r="B245" s="113"/>
      <c r="C245" s="113"/>
      <c r="D245" s="113"/>
      <c r="E245" s="113"/>
      <c r="F245" s="113"/>
      <c r="G245" s="113"/>
      <c r="H245" s="113"/>
    </row>
    <row r="246" spans="2:8" ht="12.75">
      <c r="B246" s="113"/>
      <c r="C246" s="113"/>
      <c r="D246" s="113"/>
      <c r="E246" s="113"/>
      <c r="F246" s="113"/>
      <c r="G246" s="113"/>
      <c r="H246" s="113"/>
    </row>
    <row r="247" spans="2:8" ht="12.75">
      <c r="B247" s="113"/>
      <c r="C247" s="113"/>
      <c r="D247" s="113"/>
      <c r="E247" s="113"/>
      <c r="F247" s="113"/>
      <c r="G247" s="113"/>
      <c r="H247" s="113"/>
    </row>
    <row r="248" spans="2:8" ht="12.75">
      <c r="B248" s="113"/>
      <c r="C248" s="113"/>
      <c r="D248" s="113"/>
      <c r="E248" s="113"/>
      <c r="F248" s="113"/>
      <c r="G248" s="113"/>
      <c r="H248" s="113"/>
    </row>
    <row r="249" spans="2:8" ht="12.75">
      <c r="B249" s="113"/>
      <c r="C249" s="113"/>
      <c r="D249" s="113"/>
      <c r="E249" s="113"/>
      <c r="F249" s="113"/>
      <c r="G249" s="113"/>
      <c r="H249" s="113"/>
    </row>
    <row r="250" spans="2:8" ht="12.75">
      <c r="B250" s="113"/>
      <c r="C250" s="113"/>
      <c r="D250" s="113"/>
      <c r="E250" s="113"/>
      <c r="F250" s="113"/>
      <c r="G250" s="113"/>
      <c r="H250" s="113"/>
    </row>
    <row r="251" spans="2:8" ht="12.75">
      <c r="B251" s="113"/>
      <c r="C251" s="113"/>
      <c r="D251" s="113"/>
      <c r="E251" s="113"/>
      <c r="F251" s="113"/>
      <c r="G251" s="113"/>
      <c r="H251" s="113"/>
    </row>
    <row r="252" spans="2:8" ht="12.75">
      <c r="B252" s="113"/>
      <c r="C252" s="113"/>
      <c r="D252" s="113"/>
      <c r="E252" s="113"/>
      <c r="F252" s="113"/>
      <c r="G252" s="113"/>
      <c r="H252" s="113"/>
    </row>
    <row r="253" spans="2:8" ht="12.75">
      <c r="B253" s="113"/>
      <c r="C253" s="113"/>
      <c r="D253" s="113"/>
      <c r="E253" s="113"/>
      <c r="F253" s="113"/>
      <c r="G253" s="113"/>
      <c r="H253" s="113"/>
    </row>
    <row r="254" spans="2:8" ht="12.75">
      <c r="B254" s="113"/>
      <c r="C254" s="113"/>
      <c r="D254" s="113"/>
      <c r="E254" s="113"/>
      <c r="F254" s="113"/>
      <c r="G254" s="113"/>
      <c r="H254" s="113"/>
    </row>
    <row r="255" spans="2:8" ht="12.75">
      <c r="B255" s="113"/>
      <c r="C255" s="113"/>
      <c r="D255" s="113"/>
      <c r="E255" s="113"/>
      <c r="F255" s="113"/>
      <c r="G255" s="113"/>
      <c r="H255" s="113"/>
    </row>
    <row r="256" spans="2:8" ht="12.75">
      <c r="B256" s="113"/>
      <c r="C256" s="113"/>
      <c r="D256" s="113"/>
      <c r="E256" s="113"/>
      <c r="F256" s="113"/>
      <c r="G256" s="113"/>
      <c r="H256" s="113"/>
    </row>
    <row r="257" spans="2:8" ht="12.75">
      <c r="B257" s="113"/>
      <c r="C257" s="113"/>
      <c r="D257" s="113"/>
      <c r="E257" s="113"/>
      <c r="F257" s="113"/>
      <c r="G257" s="113"/>
      <c r="H257" s="113"/>
    </row>
    <row r="258" spans="2:8" ht="12.75">
      <c r="B258" s="113"/>
      <c r="C258" s="113"/>
      <c r="D258" s="113"/>
      <c r="E258" s="113"/>
      <c r="F258" s="113"/>
      <c r="G258" s="113"/>
      <c r="H258" s="113"/>
    </row>
    <row r="259" spans="2:8" ht="12.75">
      <c r="B259" s="113"/>
      <c r="C259" s="113"/>
      <c r="D259" s="113"/>
      <c r="E259" s="113"/>
      <c r="F259" s="113"/>
      <c r="G259" s="113"/>
      <c r="H259" s="113"/>
    </row>
    <row r="260" spans="2:8" ht="12.75">
      <c r="B260" s="113"/>
      <c r="C260" s="113"/>
      <c r="D260" s="113"/>
      <c r="E260" s="113"/>
      <c r="F260" s="113"/>
      <c r="G260" s="113"/>
      <c r="H260" s="113"/>
    </row>
    <row r="261" spans="2:8" ht="12.75">
      <c r="B261" s="113"/>
      <c r="C261" s="113"/>
      <c r="D261" s="113"/>
      <c r="E261" s="113"/>
      <c r="F261" s="113"/>
      <c r="G261" s="113"/>
      <c r="H261" s="113"/>
    </row>
    <row r="262" spans="2:8" ht="12.75">
      <c r="B262" s="113"/>
      <c r="C262" s="113"/>
      <c r="D262" s="113"/>
      <c r="E262" s="113"/>
      <c r="F262" s="113"/>
      <c r="G262" s="113"/>
      <c r="H262" s="113"/>
    </row>
    <row r="263" spans="2:8" ht="12.75">
      <c r="B263" s="113"/>
      <c r="C263" s="113"/>
      <c r="D263" s="113"/>
      <c r="E263" s="113"/>
      <c r="F263" s="113"/>
      <c r="G263" s="113"/>
      <c r="H263" s="113"/>
    </row>
    <row r="264" spans="2:8" ht="12.75">
      <c r="B264" s="113"/>
      <c r="C264" s="113"/>
      <c r="D264" s="113"/>
      <c r="E264" s="113"/>
      <c r="F264" s="113"/>
      <c r="G264" s="113"/>
      <c r="H264" s="113"/>
    </row>
    <row r="265" spans="2:8" ht="12.75">
      <c r="B265" s="113"/>
      <c r="C265" s="113"/>
      <c r="D265" s="113"/>
      <c r="E265" s="113"/>
      <c r="F265" s="113"/>
      <c r="G265" s="113"/>
      <c r="H265" s="113"/>
    </row>
    <row r="266" spans="2:8" ht="12.75">
      <c r="B266" s="113"/>
      <c r="C266" s="113"/>
      <c r="D266" s="113"/>
      <c r="E266" s="113"/>
      <c r="F266" s="113"/>
      <c r="G266" s="113"/>
      <c r="H266" s="113"/>
    </row>
    <row r="267" spans="2:8" ht="12.75">
      <c r="B267" s="113"/>
      <c r="C267" s="113"/>
      <c r="D267" s="113"/>
      <c r="E267" s="113"/>
      <c r="F267" s="113"/>
      <c r="G267" s="113"/>
      <c r="H267" s="113"/>
    </row>
    <row r="268" spans="2:8" ht="12.75">
      <c r="B268" s="113"/>
      <c r="C268" s="113"/>
      <c r="D268" s="113"/>
      <c r="E268" s="113"/>
      <c r="F268" s="113"/>
      <c r="G268" s="113"/>
      <c r="H268" s="113"/>
    </row>
    <row r="269" spans="2:8" ht="12.75">
      <c r="B269" s="113"/>
      <c r="C269" s="113"/>
      <c r="D269" s="113"/>
      <c r="E269" s="113"/>
      <c r="F269" s="113"/>
      <c r="G269" s="113"/>
      <c r="H269" s="113"/>
    </row>
    <row r="270" spans="2:8" ht="12.75">
      <c r="B270" s="113"/>
      <c r="C270" s="113"/>
      <c r="D270" s="113"/>
      <c r="E270" s="113"/>
      <c r="F270" s="113"/>
      <c r="G270" s="113"/>
      <c r="H270" s="113"/>
    </row>
    <row r="271" spans="2:8" ht="12.75">
      <c r="B271" s="113"/>
      <c r="C271" s="113"/>
      <c r="D271" s="113"/>
      <c r="E271" s="113"/>
      <c r="F271" s="113"/>
      <c r="G271" s="113"/>
      <c r="H271" s="113"/>
    </row>
    <row r="272" spans="2:8" ht="12.75">
      <c r="B272" s="113"/>
      <c r="C272" s="113"/>
      <c r="D272" s="113"/>
      <c r="E272" s="113"/>
      <c r="F272" s="113"/>
      <c r="G272" s="113"/>
      <c r="H272" s="113"/>
    </row>
    <row r="273" spans="2:8" ht="12.75">
      <c r="B273" s="113"/>
      <c r="C273" s="113"/>
      <c r="D273" s="113"/>
      <c r="E273" s="113"/>
      <c r="F273" s="113"/>
      <c r="G273" s="113"/>
      <c r="H273" s="113"/>
    </row>
    <row r="274" spans="2:8" ht="12.75">
      <c r="B274" s="113"/>
      <c r="C274" s="113"/>
      <c r="D274" s="113"/>
      <c r="E274" s="113"/>
      <c r="F274" s="113"/>
      <c r="G274" s="113"/>
      <c r="H274" s="113"/>
    </row>
    <row r="275" spans="2:8" ht="12.75">
      <c r="B275" s="113"/>
      <c r="C275" s="113"/>
      <c r="D275" s="113"/>
      <c r="E275" s="113"/>
      <c r="F275" s="113"/>
      <c r="G275" s="113"/>
      <c r="H275" s="113"/>
    </row>
    <row r="276" spans="2:8" ht="12.75">
      <c r="B276" s="113"/>
      <c r="C276" s="113"/>
      <c r="D276" s="113"/>
      <c r="E276" s="113"/>
      <c r="F276" s="113"/>
      <c r="G276" s="113"/>
      <c r="H276" s="113"/>
    </row>
    <row r="277" spans="2:8" ht="12.75">
      <c r="B277" s="113"/>
      <c r="C277" s="113"/>
      <c r="D277" s="113"/>
      <c r="E277" s="113"/>
      <c r="F277" s="113"/>
      <c r="G277" s="113"/>
      <c r="H277" s="113"/>
    </row>
    <row r="278" spans="2:8" ht="12.75">
      <c r="B278" s="113"/>
      <c r="C278" s="113"/>
      <c r="D278" s="113"/>
      <c r="E278" s="113"/>
      <c r="F278" s="113"/>
      <c r="G278" s="113"/>
      <c r="H278" s="113"/>
    </row>
    <row r="279" spans="2:8" ht="12.75">
      <c r="B279" s="113"/>
      <c r="C279" s="113"/>
      <c r="D279" s="113"/>
      <c r="E279" s="113"/>
      <c r="F279" s="113"/>
      <c r="G279" s="113"/>
      <c r="H279" s="113"/>
    </row>
    <row r="280" spans="2:8" ht="12.75">
      <c r="B280" s="113"/>
      <c r="C280" s="113"/>
      <c r="D280" s="113"/>
      <c r="E280" s="113"/>
      <c r="F280" s="113"/>
      <c r="G280" s="113"/>
      <c r="H280" s="113"/>
    </row>
    <row r="281" spans="2:8" ht="12.75">
      <c r="B281" s="113"/>
      <c r="C281" s="113"/>
      <c r="D281" s="113"/>
      <c r="E281" s="113"/>
      <c r="F281" s="113"/>
      <c r="G281" s="113"/>
      <c r="H281" s="113"/>
    </row>
    <row r="282" spans="2:8" ht="12.75">
      <c r="B282" s="113"/>
      <c r="C282" s="113"/>
      <c r="D282" s="113"/>
      <c r="E282" s="113"/>
      <c r="F282" s="113"/>
      <c r="G282" s="113"/>
      <c r="H282" s="113"/>
    </row>
    <row r="283" spans="2:8" ht="12.75">
      <c r="B283" s="113"/>
      <c r="C283" s="113"/>
      <c r="D283" s="113"/>
      <c r="E283" s="113"/>
      <c r="F283" s="113"/>
      <c r="G283" s="113"/>
      <c r="H283" s="113"/>
    </row>
    <row r="284" spans="2:8" ht="12.75">
      <c r="B284" s="113"/>
      <c r="C284" s="113"/>
      <c r="D284" s="113"/>
      <c r="E284" s="113"/>
      <c r="F284" s="113"/>
      <c r="G284" s="113"/>
      <c r="H284" s="113"/>
    </row>
    <row r="285" spans="2:8" ht="12.75">
      <c r="B285" s="113"/>
      <c r="C285" s="113"/>
      <c r="D285" s="113"/>
      <c r="E285" s="113"/>
      <c r="F285" s="113"/>
      <c r="G285" s="113"/>
      <c r="H285" s="113"/>
    </row>
    <row r="286" spans="2:8" ht="12.75">
      <c r="B286" s="113"/>
      <c r="C286" s="113"/>
      <c r="D286" s="113"/>
      <c r="E286" s="113"/>
      <c r="F286" s="113"/>
      <c r="G286" s="113"/>
      <c r="H286" s="113"/>
    </row>
    <row r="287" spans="2:8" ht="12.75">
      <c r="B287" s="113"/>
      <c r="C287" s="113"/>
      <c r="D287" s="113"/>
      <c r="E287" s="113"/>
      <c r="F287" s="113"/>
      <c r="G287" s="113"/>
      <c r="H287" s="113"/>
    </row>
    <row r="288" spans="2:8" ht="12.75">
      <c r="B288" s="113"/>
      <c r="C288" s="113"/>
      <c r="D288" s="113"/>
      <c r="E288" s="113"/>
      <c r="F288" s="113"/>
      <c r="G288" s="113"/>
      <c r="H288" s="113"/>
    </row>
    <row r="289" spans="2:8" ht="12.75">
      <c r="B289" s="113"/>
      <c r="C289" s="113"/>
      <c r="D289" s="113"/>
      <c r="E289" s="113"/>
      <c r="F289" s="113"/>
      <c r="G289" s="113"/>
      <c r="H289" s="113"/>
    </row>
    <row r="290" spans="2:8" ht="12.75">
      <c r="B290" s="113"/>
      <c r="C290" s="113"/>
      <c r="D290" s="113"/>
      <c r="E290" s="113"/>
      <c r="F290" s="113"/>
      <c r="G290" s="113"/>
      <c r="H290" s="113"/>
    </row>
    <row r="291" spans="2:8" ht="12.75">
      <c r="B291" s="113"/>
      <c r="C291" s="113"/>
      <c r="D291" s="113"/>
      <c r="E291" s="113"/>
      <c r="F291" s="113"/>
      <c r="G291" s="113"/>
      <c r="H291" s="113"/>
    </row>
    <row r="292" spans="2:8" ht="12.75">
      <c r="B292" s="113"/>
      <c r="C292" s="113"/>
      <c r="D292" s="113"/>
      <c r="E292" s="113"/>
      <c r="F292" s="113"/>
      <c r="G292" s="113"/>
      <c r="H292" s="113"/>
    </row>
    <row r="293" spans="2:8" ht="12.75">
      <c r="B293" s="113"/>
      <c r="C293" s="113"/>
      <c r="D293" s="113"/>
      <c r="E293" s="113"/>
      <c r="F293" s="113"/>
      <c r="G293" s="113"/>
      <c r="H293" s="113"/>
    </row>
    <row r="294" spans="2:8" ht="12.75">
      <c r="B294" s="113"/>
      <c r="C294" s="113"/>
      <c r="D294" s="113"/>
      <c r="E294" s="113"/>
      <c r="F294" s="113"/>
      <c r="G294" s="113"/>
      <c r="H294" s="113"/>
    </row>
    <row r="295" spans="2:8" ht="12.75">
      <c r="B295" s="113"/>
      <c r="C295" s="113"/>
      <c r="D295" s="113"/>
      <c r="E295" s="113"/>
      <c r="F295" s="113"/>
      <c r="G295" s="113"/>
      <c r="H295" s="113"/>
    </row>
    <row r="296" spans="2:8" ht="12.75">
      <c r="B296" s="113"/>
      <c r="C296" s="113"/>
      <c r="D296" s="113"/>
      <c r="E296" s="113"/>
      <c r="F296" s="113"/>
      <c r="G296" s="113"/>
      <c r="H296" s="113"/>
    </row>
    <row r="297" spans="2:8" ht="12.75">
      <c r="B297" s="113"/>
      <c r="C297" s="113"/>
      <c r="D297" s="113"/>
      <c r="E297" s="113"/>
      <c r="F297" s="113"/>
      <c r="G297" s="113"/>
      <c r="H297" s="113"/>
    </row>
    <row r="298" spans="2:8" ht="12.75">
      <c r="B298" s="113"/>
      <c r="C298" s="113"/>
      <c r="D298" s="113"/>
      <c r="E298" s="113"/>
      <c r="F298" s="113"/>
      <c r="G298" s="113"/>
      <c r="H298" s="113"/>
    </row>
    <row r="299" spans="2:8" ht="12.75">
      <c r="B299" s="113"/>
      <c r="C299" s="113"/>
      <c r="D299" s="113"/>
      <c r="E299" s="113"/>
      <c r="F299" s="113"/>
      <c r="G299" s="113"/>
      <c r="H299" s="113"/>
    </row>
    <row r="300" spans="2:8" ht="12.75">
      <c r="B300" s="113"/>
      <c r="C300" s="113"/>
      <c r="D300" s="113"/>
      <c r="E300" s="113"/>
      <c r="F300" s="113"/>
      <c r="G300" s="113"/>
      <c r="H300" s="113"/>
    </row>
    <row r="301" spans="2:8" ht="12.75">
      <c r="B301" s="113"/>
      <c r="C301" s="113"/>
      <c r="D301" s="113"/>
      <c r="E301" s="113"/>
      <c r="F301" s="113"/>
      <c r="G301" s="113"/>
      <c r="H301" s="113"/>
    </row>
    <row r="302" spans="2:8" ht="12.75">
      <c r="B302" s="113"/>
      <c r="C302" s="113"/>
      <c r="D302" s="113"/>
      <c r="E302" s="113"/>
      <c r="F302" s="113"/>
      <c r="G302" s="113"/>
      <c r="H302" s="113"/>
    </row>
    <row r="303" spans="2:8" ht="12.75">
      <c r="B303" s="113"/>
      <c r="C303" s="113"/>
      <c r="D303" s="113"/>
      <c r="E303" s="113"/>
      <c r="F303" s="113"/>
      <c r="G303" s="113"/>
      <c r="H303" s="113"/>
    </row>
    <row r="304" spans="2:8" ht="12.75">
      <c r="B304" s="113"/>
      <c r="C304" s="113"/>
      <c r="D304" s="113"/>
      <c r="E304" s="113"/>
      <c r="F304" s="113"/>
      <c r="G304" s="113"/>
      <c r="H304" s="113"/>
    </row>
    <row r="305" spans="2:8" ht="12.75">
      <c r="B305" s="113"/>
      <c r="C305" s="113"/>
      <c r="D305" s="113"/>
      <c r="E305" s="113"/>
      <c r="F305" s="113"/>
      <c r="G305" s="113"/>
      <c r="H305" s="113"/>
    </row>
    <row r="306" spans="2:8" ht="12.75">
      <c r="B306" s="113"/>
      <c r="C306" s="113"/>
      <c r="D306" s="113"/>
      <c r="E306" s="113"/>
      <c r="F306" s="113"/>
      <c r="G306" s="113"/>
      <c r="H306" s="113"/>
    </row>
    <row r="307" spans="2:8" ht="12.75">
      <c r="B307" s="113"/>
      <c r="C307" s="113"/>
      <c r="D307" s="113"/>
      <c r="E307" s="113"/>
      <c r="F307" s="113"/>
      <c r="G307" s="113"/>
      <c r="H307" s="113"/>
    </row>
    <row r="308" spans="2:8" ht="12.75">
      <c r="B308" s="113"/>
      <c r="C308" s="113"/>
      <c r="D308" s="113"/>
      <c r="E308" s="113"/>
      <c r="F308" s="113"/>
      <c r="G308" s="113"/>
      <c r="H308" s="113"/>
    </row>
    <row r="309" spans="2:8" ht="12.75">
      <c r="B309" s="113"/>
      <c r="C309" s="113"/>
      <c r="D309" s="113"/>
      <c r="E309" s="113"/>
      <c r="F309" s="113"/>
      <c r="G309" s="113"/>
      <c r="H309" s="113"/>
    </row>
    <row r="310" spans="2:8" ht="12.75">
      <c r="B310" s="113"/>
      <c r="C310" s="113"/>
      <c r="D310" s="113"/>
      <c r="E310" s="113"/>
      <c r="F310" s="113"/>
      <c r="G310" s="113"/>
      <c r="H310" s="113"/>
    </row>
    <row r="311" spans="2:8" ht="12.75">
      <c r="B311" s="113"/>
      <c r="C311" s="113"/>
      <c r="D311" s="113"/>
      <c r="E311" s="113"/>
      <c r="F311" s="113"/>
      <c r="G311" s="113"/>
      <c r="H311" s="113"/>
    </row>
    <row r="312" spans="2:8" ht="12.75">
      <c r="B312" s="113"/>
      <c r="C312" s="113"/>
      <c r="D312" s="113"/>
      <c r="E312" s="113"/>
      <c r="F312" s="113"/>
      <c r="G312" s="113"/>
      <c r="H312" s="113"/>
    </row>
    <row r="313" spans="2:8" ht="12.75">
      <c r="B313" s="113"/>
      <c r="C313" s="113"/>
      <c r="D313" s="113"/>
      <c r="E313" s="113"/>
      <c r="F313" s="113"/>
      <c r="G313" s="113"/>
      <c r="H313" s="113"/>
    </row>
    <row r="314" spans="2:8" ht="12.75">
      <c r="B314" s="113"/>
      <c r="C314" s="113"/>
      <c r="D314" s="113"/>
      <c r="E314" s="113"/>
      <c r="F314" s="113"/>
      <c r="G314" s="113"/>
      <c r="H314" s="113"/>
    </row>
    <row r="315" spans="2:8" ht="12.75">
      <c r="B315" s="113"/>
      <c r="C315" s="113"/>
      <c r="D315" s="113"/>
      <c r="E315" s="113"/>
      <c r="F315" s="113"/>
      <c r="G315" s="113"/>
      <c r="H315" s="113"/>
    </row>
    <row r="316" spans="2:8" ht="12.75">
      <c r="B316" s="113"/>
      <c r="C316" s="113"/>
      <c r="D316" s="113"/>
      <c r="E316" s="113"/>
      <c r="F316" s="113"/>
      <c r="G316" s="113"/>
      <c r="H316" s="113"/>
    </row>
    <row r="317" spans="2:8" ht="12.75">
      <c r="B317" s="113"/>
      <c r="C317" s="113"/>
      <c r="D317" s="113"/>
      <c r="E317" s="113"/>
      <c r="F317" s="113"/>
      <c r="G317" s="113"/>
      <c r="H317" s="113"/>
    </row>
    <row r="318" spans="2:8" ht="12.75">
      <c r="B318" s="113"/>
      <c r="C318" s="113"/>
      <c r="D318" s="113"/>
      <c r="E318" s="113"/>
      <c r="F318" s="113"/>
      <c r="G318" s="113"/>
      <c r="H318" s="113"/>
    </row>
    <row r="319" spans="2:8" ht="12.75">
      <c r="B319" s="113"/>
      <c r="C319" s="113"/>
      <c r="D319" s="113"/>
      <c r="E319" s="113"/>
      <c r="F319" s="113"/>
      <c r="G319" s="113"/>
      <c r="H319" s="113"/>
    </row>
    <row r="320" spans="2:8" ht="12.75">
      <c r="B320" s="113"/>
      <c r="C320" s="113"/>
      <c r="D320" s="113"/>
      <c r="E320" s="113"/>
      <c r="F320" s="113"/>
      <c r="G320" s="113"/>
      <c r="H320" s="113"/>
    </row>
    <row r="321" spans="2:8" ht="12.75">
      <c r="B321" s="113"/>
      <c r="C321" s="113"/>
      <c r="D321" s="113"/>
      <c r="E321" s="113"/>
      <c r="F321" s="113"/>
      <c r="G321" s="113"/>
      <c r="H321" s="113"/>
    </row>
    <row r="322" spans="2:8" ht="12.75">
      <c r="B322" s="113"/>
      <c r="C322" s="113"/>
      <c r="D322" s="113"/>
      <c r="E322" s="113"/>
      <c r="F322" s="113"/>
      <c r="G322" s="113"/>
      <c r="H322" s="113"/>
    </row>
    <row r="323" spans="2:8" ht="12.75">
      <c r="B323" s="113"/>
      <c r="C323" s="113"/>
      <c r="D323" s="113"/>
      <c r="E323" s="113"/>
      <c r="F323" s="113"/>
      <c r="G323" s="113"/>
      <c r="H323" s="113"/>
    </row>
    <row r="324" spans="2:8" ht="12.75">
      <c r="B324" s="113"/>
      <c r="C324" s="113"/>
      <c r="D324" s="113"/>
      <c r="E324" s="113"/>
      <c r="F324" s="113"/>
      <c r="G324" s="113"/>
      <c r="H324" s="113"/>
    </row>
    <row r="325" spans="2:8" ht="12.75">
      <c r="B325" s="113"/>
      <c r="C325" s="113"/>
      <c r="D325" s="113"/>
      <c r="E325" s="113"/>
      <c r="F325" s="113"/>
      <c r="G325" s="113"/>
      <c r="H325" s="113"/>
    </row>
    <row r="326" spans="2:8" ht="12.75">
      <c r="B326" s="113"/>
      <c r="C326" s="113"/>
      <c r="D326" s="113"/>
      <c r="E326" s="113"/>
      <c r="F326" s="113"/>
      <c r="G326" s="113"/>
      <c r="H326" s="113"/>
    </row>
    <row r="327" spans="2:8" ht="12.75">
      <c r="B327" s="113"/>
      <c r="C327" s="113"/>
      <c r="D327" s="113"/>
      <c r="E327" s="113"/>
      <c r="F327" s="113"/>
      <c r="G327" s="113"/>
      <c r="H327" s="113"/>
    </row>
    <row r="328" spans="2:8" ht="12.75">
      <c r="B328" s="113"/>
      <c r="C328" s="113"/>
      <c r="D328" s="113"/>
      <c r="E328" s="113"/>
      <c r="F328" s="113"/>
      <c r="G328" s="113"/>
      <c r="H328" s="113"/>
    </row>
    <row r="329" spans="2:8" ht="12.75">
      <c r="B329" s="113"/>
      <c r="C329" s="113"/>
      <c r="D329" s="113"/>
      <c r="E329" s="113"/>
      <c r="F329" s="113"/>
      <c r="G329" s="113"/>
      <c r="H329" s="113"/>
    </row>
    <row r="330" spans="2:8" ht="12.75">
      <c r="B330" s="113"/>
      <c r="C330" s="113"/>
      <c r="D330" s="113"/>
      <c r="E330" s="113"/>
      <c r="F330" s="113"/>
      <c r="G330" s="113"/>
      <c r="H330" s="113"/>
    </row>
    <row r="331" spans="2:8" ht="12.75">
      <c r="B331" s="113"/>
      <c r="C331" s="113"/>
      <c r="D331" s="113"/>
      <c r="E331" s="113"/>
      <c r="F331" s="113"/>
      <c r="G331" s="113"/>
      <c r="H331" s="113"/>
    </row>
    <row r="332" spans="2:8" ht="12.75">
      <c r="B332" s="113"/>
      <c r="C332" s="113"/>
      <c r="D332" s="113"/>
      <c r="E332" s="113"/>
      <c r="F332" s="113"/>
      <c r="G332" s="113"/>
      <c r="H332" s="113"/>
    </row>
    <row r="333" spans="2:8" ht="12.75">
      <c r="B333" s="113"/>
      <c r="C333" s="113"/>
      <c r="D333" s="113"/>
      <c r="E333" s="113"/>
      <c r="F333" s="113"/>
      <c r="G333" s="113"/>
      <c r="H333" s="113"/>
    </row>
    <row r="334" spans="2:8" ht="12.75">
      <c r="B334" s="113"/>
      <c r="C334" s="113"/>
      <c r="D334" s="113"/>
      <c r="E334" s="113"/>
      <c r="F334" s="113"/>
      <c r="G334" s="113"/>
      <c r="H334" s="113"/>
    </row>
    <row r="335" spans="2:8" ht="12.75">
      <c r="B335" s="113"/>
      <c r="C335" s="113"/>
      <c r="D335" s="113"/>
      <c r="E335" s="113"/>
      <c r="F335" s="113"/>
      <c r="G335" s="113"/>
      <c r="H335" s="113"/>
    </row>
    <row r="336" spans="2:8" ht="12.75">
      <c r="B336" s="113"/>
      <c r="C336" s="113"/>
      <c r="D336" s="113"/>
      <c r="E336" s="113"/>
      <c r="F336" s="113"/>
      <c r="G336" s="113"/>
      <c r="H336" s="113"/>
    </row>
    <row r="337" spans="2:8" ht="12.75">
      <c r="B337" s="113"/>
      <c r="C337" s="113"/>
      <c r="D337" s="113"/>
      <c r="E337" s="113"/>
      <c r="F337" s="113"/>
      <c r="G337" s="113"/>
      <c r="H337" s="113"/>
    </row>
    <row r="338" spans="2:8" ht="12.75">
      <c r="B338" s="113"/>
      <c r="C338" s="113"/>
      <c r="D338" s="113"/>
      <c r="E338" s="113"/>
      <c r="F338" s="113"/>
      <c r="G338" s="113"/>
      <c r="H338" s="113"/>
    </row>
    <row r="339" spans="2:8" ht="12.75">
      <c r="B339" s="113"/>
      <c r="C339" s="113"/>
      <c r="D339" s="113"/>
      <c r="E339" s="113"/>
      <c r="F339" s="113"/>
      <c r="G339" s="113"/>
      <c r="H339" s="113"/>
    </row>
    <row r="340" spans="2:8" ht="12.75">
      <c r="B340" s="113"/>
      <c r="C340" s="113"/>
      <c r="D340" s="113"/>
      <c r="E340" s="113"/>
      <c r="F340" s="113"/>
      <c r="G340" s="113"/>
      <c r="H340" s="113"/>
    </row>
    <row r="341" spans="2:8" ht="12.75">
      <c r="B341" s="113"/>
      <c r="C341" s="113"/>
      <c r="D341" s="113"/>
      <c r="E341" s="113"/>
      <c r="F341" s="113"/>
      <c r="G341" s="113"/>
      <c r="H341" s="113"/>
    </row>
    <row r="342" spans="2:8" ht="12.75">
      <c r="B342" s="113"/>
      <c r="C342" s="113"/>
      <c r="D342" s="113"/>
      <c r="E342" s="113"/>
      <c r="F342" s="113"/>
      <c r="G342" s="113"/>
      <c r="H342" s="113"/>
    </row>
    <row r="343" spans="2:8" ht="12.75">
      <c r="B343" s="113"/>
      <c r="C343" s="113"/>
      <c r="D343" s="113"/>
      <c r="E343" s="113"/>
      <c r="F343" s="113"/>
      <c r="G343" s="113"/>
      <c r="H343" s="113"/>
    </row>
    <row r="344" spans="2:8" ht="12.75">
      <c r="B344" s="113"/>
      <c r="C344" s="113"/>
      <c r="D344" s="113"/>
      <c r="E344" s="113"/>
      <c r="F344" s="113"/>
      <c r="G344" s="113"/>
      <c r="H344" s="113"/>
    </row>
    <row r="345" spans="2:8" ht="12.75">
      <c r="B345" s="113"/>
      <c r="C345" s="113"/>
      <c r="D345" s="113"/>
      <c r="E345" s="113"/>
      <c r="F345" s="113"/>
      <c r="G345" s="113"/>
      <c r="H345" s="113"/>
    </row>
    <row r="346" spans="2:8" ht="12.75">
      <c r="B346" s="113"/>
      <c r="C346" s="113"/>
      <c r="D346" s="113"/>
      <c r="E346" s="113"/>
      <c r="F346" s="113"/>
      <c r="G346" s="113"/>
      <c r="H346" s="113"/>
    </row>
    <row r="347" spans="2:8" ht="12.75">
      <c r="B347" s="113"/>
      <c r="C347" s="113"/>
      <c r="D347" s="113"/>
      <c r="E347" s="113"/>
      <c r="F347" s="113"/>
      <c r="G347" s="113"/>
      <c r="H347" s="113"/>
    </row>
    <row r="348" spans="2:8" ht="12.75">
      <c r="B348" s="113"/>
      <c r="C348" s="113"/>
      <c r="D348" s="113"/>
      <c r="E348" s="113"/>
      <c r="F348" s="113"/>
      <c r="G348" s="113"/>
      <c r="H348" s="113"/>
    </row>
    <row r="349" spans="2:8" ht="12.75">
      <c r="B349" s="113"/>
      <c r="C349" s="113"/>
      <c r="D349" s="113"/>
      <c r="E349" s="113"/>
      <c r="F349" s="113"/>
      <c r="G349" s="113"/>
      <c r="H349" s="113"/>
    </row>
    <row r="350" spans="2:8" ht="12.75">
      <c r="B350" s="113"/>
      <c r="C350" s="113"/>
      <c r="D350" s="113"/>
      <c r="E350" s="113"/>
      <c r="F350" s="113"/>
      <c r="G350" s="113"/>
      <c r="H350" s="113"/>
    </row>
    <row r="351" spans="2:8" ht="12.75">
      <c r="B351" s="113"/>
      <c r="C351" s="113"/>
      <c r="D351" s="113"/>
      <c r="E351" s="113"/>
      <c r="F351" s="113"/>
      <c r="G351" s="113"/>
      <c r="H351" s="113"/>
    </row>
    <row r="352" spans="2:8" ht="12.75">
      <c r="B352" s="113"/>
      <c r="C352" s="113"/>
      <c r="D352" s="113"/>
      <c r="E352" s="113"/>
      <c r="F352" s="113"/>
      <c r="G352" s="113"/>
      <c r="H352" s="113"/>
    </row>
    <row r="353" spans="2:8" ht="12.75">
      <c r="B353" s="113"/>
      <c r="C353" s="113"/>
      <c r="D353" s="113"/>
      <c r="E353" s="113"/>
      <c r="F353" s="113"/>
      <c r="G353" s="113"/>
      <c r="H353" s="113"/>
    </row>
    <row r="354" spans="2:8" ht="12.75">
      <c r="B354" s="113"/>
      <c r="C354" s="113"/>
      <c r="D354" s="113"/>
      <c r="E354" s="113"/>
      <c r="F354" s="113"/>
      <c r="G354" s="113"/>
      <c r="H354" s="113"/>
    </row>
    <row r="355" spans="2:8" ht="12.75">
      <c r="B355" s="113"/>
      <c r="C355" s="113"/>
      <c r="D355" s="113"/>
      <c r="E355" s="113"/>
      <c r="F355" s="113"/>
      <c r="G355" s="113"/>
      <c r="H355" s="113"/>
    </row>
    <row r="356" spans="2:8" ht="12.75">
      <c r="B356" s="113"/>
      <c r="C356" s="113"/>
      <c r="D356" s="113"/>
      <c r="E356" s="113"/>
      <c r="F356" s="113"/>
      <c r="G356" s="113"/>
      <c r="H356" s="113"/>
    </row>
    <row r="357" spans="2:8" ht="12.75">
      <c r="B357" s="113"/>
      <c r="C357" s="113"/>
      <c r="D357" s="113"/>
      <c r="E357" s="113"/>
      <c r="F357" s="113"/>
      <c r="G357" s="113"/>
      <c r="H357" s="113"/>
    </row>
    <row r="358" spans="2:8" ht="12.75">
      <c r="B358" s="113"/>
      <c r="C358" s="113"/>
      <c r="D358" s="113"/>
      <c r="E358" s="113"/>
      <c r="F358" s="113"/>
      <c r="G358" s="113"/>
      <c r="H358" s="113"/>
    </row>
    <row r="359" spans="2:8" ht="12.75">
      <c r="B359" s="113"/>
      <c r="C359" s="113"/>
      <c r="D359" s="113"/>
      <c r="E359" s="113"/>
      <c r="F359" s="113"/>
      <c r="G359" s="113"/>
      <c r="H359" s="113"/>
    </row>
    <row r="360" spans="2:8" ht="12.75">
      <c r="B360" s="113"/>
      <c r="C360" s="113"/>
      <c r="D360" s="113"/>
      <c r="E360" s="113"/>
      <c r="F360" s="113"/>
      <c r="G360" s="113"/>
      <c r="H360" s="113"/>
    </row>
    <row r="361" spans="2:8" ht="12.75">
      <c r="B361" s="113"/>
      <c r="C361" s="113"/>
      <c r="D361" s="113"/>
      <c r="E361" s="113"/>
      <c r="F361" s="113"/>
      <c r="G361" s="113"/>
      <c r="H361" s="113"/>
    </row>
    <row r="362" spans="2:8" ht="12.75">
      <c r="B362" s="113"/>
      <c r="C362" s="113"/>
      <c r="D362" s="113"/>
      <c r="E362" s="113"/>
      <c r="F362" s="113"/>
      <c r="G362" s="113"/>
      <c r="H362" s="113"/>
    </row>
    <row r="363" spans="2:8" ht="12.75">
      <c r="B363" s="113"/>
      <c r="C363" s="113"/>
      <c r="D363" s="113"/>
      <c r="E363" s="113"/>
      <c r="F363" s="113"/>
      <c r="G363" s="113"/>
      <c r="H363" s="113"/>
    </row>
    <row r="364" spans="2:8" ht="12.75">
      <c r="B364" s="113"/>
      <c r="C364" s="113"/>
      <c r="D364" s="113"/>
      <c r="E364" s="113"/>
      <c r="F364" s="113"/>
      <c r="G364" s="113"/>
      <c r="H364" s="113"/>
    </row>
    <row r="365" spans="2:8" ht="12.75">
      <c r="B365" s="113"/>
      <c r="C365" s="113"/>
      <c r="D365" s="113"/>
      <c r="E365" s="113"/>
      <c r="F365" s="113"/>
      <c r="G365" s="113"/>
      <c r="H365" s="113"/>
    </row>
    <row r="366" spans="2:8" ht="12.75">
      <c r="B366" s="113"/>
      <c r="C366" s="113"/>
      <c r="D366" s="113"/>
      <c r="E366" s="113"/>
      <c r="F366" s="113"/>
      <c r="G366" s="113"/>
      <c r="H366" s="113"/>
    </row>
    <row r="367" spans="2:8" ht="12.75">
      <c r="B367" s="113"/>
      <c r="C367" s="113"/>
      <c r="D367" s="113"/>
      <c r="E367" s="113"/>
      <c r="F367" s="113"/>
      <c r="G367" s="113"/>
      <c r="H367" s="113"/>
    </row>
    <row r="368" spans="2:8" ht="12.75">
      <c r="B368" s="113"/>
      <c r="C368" s="113"/>
      <c r="D368" s="113"/>
      <c r="E368" s="113"/>
      <c r="F368" s="113"/>
      <c r="G368" s="113"/>
      <c r="H368" s="113"/>
    </row>
    <row r="369" spans="2:8" ht="12.75">
      <c r="B369" s="113"/>
      <c r="C369" s="113"/>
      <c r="D369" s="113"/>
      <c r="E369" s="113"/>
      <c r="F369" s="113"/>
      <c r="G369" s="113"/>
      <c r="H369" s="113"/>
    </row>
    <row r="370" spans="2:8" ht="12.75">
      <c r="B370" s="113"/>
      <c r="C370" s="113"/>
      <c r="D370" s="113"/>
      <c r="E370" s="113"/>
      <c r="F370" s="113"/>
      <c r="G370" s="113"/>
      <c r="H370" s="113"/>
    </row>
    <row r="371" spans="2:8" ht="12.75">
      <c r="B371" s="113"/>
      <c r="C371" s="113"/>
      <c r="D371" s="113"/>
      <c r="E371" s="113"/>
      <c r="F371" s="113"/>
      <c r="G371" s="113"/>
      <c r="H371" s="113"/>
    </row>
    <row r="372" spans="2:8" ht="12.75">
      <c r="B372" s="113"/>
      <c r="C372" s="113"/>
      <c r="D372" s="113"/>
      <c r="E372" s="113"/>
      <c r="F372" s="113"/>
      <c r="G372" s="113"/>
      <c r="H372" s="113"/>
    </row>
    <row r="373" spans="2:8" ht="12.75">
      <c r="B373" s="113"/>
      <c r="C373" s="113"/>
      <c r="D373" s="113"/>
      <c r="E373" s="113"/>
      <c r="F373" s="113"/>
      <c r="G373" s="113"/>
      <c r="H373" s="113"/>
    </row>
    <row r="374" spans="2:8" ht="12.75">
      <c r="B374" s="113"/>
      <c r="C374" s="113"/>
      <c r="D374" s="113"/>
      <c r="E374" s="113"/>
      <c r="F374" s="113"/>
      <c r="G374" s="113"/>
      <c r="H374" s="113"/>
    </row>
    <row r="375" spans="2:8" ht="12.75">
      <c r="B375" s="113"/>
      <c r="C375" s="113"/>
      <c r="D375" s="113"/>
      <c r="E375" s="113"/>
      <c r="F375" s="113"/>
      <c r="G375" s="113"/>
      <c r="H375" s="113"/>
    </row>
    <row r="376" spans="2:8" ht="12.75">
      <c r="B376" s="113"/>
      <c r="C376" s="113"/>
      <c r="D376" s="113"/>
      <c r="E376" s="113"/>
      <c r="F376" s="113"/>
      <c r="G376" s="113"/>
      <c r="H376" s="113"/>
    </row>
    <row r="377" spans="2:8" ht="12.75">
      <c r="B377" s="113"/>
      <c r="C377" s="113"/>
      <c r="D377" s="113"/>
      <c r="E377" s="113"/>
      <c r="F377" s="113"/>
      <c r="G377" s="113"/>
      <c r="H377" s="113"/>
    </row>
    <row r="378" spans="2:8" ht="12.75">
      <c r="B378" s="113"/>
      <c r="C378" s="113"/>
      <c r="D378" s="113"/>
      <c r="E378" s="113"/>
      <c r="F378" s="113"/>
      <c r="G378" s="113"/>
      <c r="H378" s="113"/>
    </row>
    <row r="379" spans="2:8" ht="12.75">
      <c r="B379" s="113"/>
      <c r="C379" s="113"/>
      <c r="D379" s="113"/>
      <c r="E379" s="113"/>
      <c r="F379" s="113"/>
      <c r="G379" s="113"/>
      <c r="H379" s="113"/>
    </row>
    <row r="380" spans="2:8" ht="12.75">
      <c r="B380" s="113"/>
      <c r="C380" s="113"/>
      <c r="D380" s="113"/>
      <c r="E380" s="113"/>
      <c r="F380" s="113"/>
      <c r="G380" s="113"/>
      <c r="H380" s="113"/>
    </row>
    <row r="381" spans="2:8" ht="12.75">
      <c r="B381" s="113"/>
      <c r="C381" s="113"/>
      <c r="D381" s="113"/>
      <c r="E381" s="113"/>
      <c r="F381" s="113"/>
      <c r="G381" s="113"/>
      <c r="H381" s="113"/>
    </row>
    <row r="382" spans="2:8" ht="12.75">
      <c r="B382" s="113"/>
      <c r="C382" s="113"/>
      <c r="D382" s="113"/>
      <c r="E382" s="113"/>
      <c r="F382" s="113"/>
      <c r="G382" s="113"/>
      <c r="H382" s="113"/>
    </row>
    <row r="383" spans="2:8" ht="12.75">
      <c r="B383" s="113"/>
      <c r="C383" s="113"/>
      <c r="D383" s="113"/>
      <c r="E383" s="113"/>
      <c r="F383" s="113"/>
      <c r="G383" s="113"/>
      <c r="H383" s="113"/>
    </row>
    <row r="384" spans="2:8" ht="12.75">
      <c r="B384" s="113"/>
      <c r="C384" s="113"/>
      <c r="D384" s="113"/>
      <c r="E384" s="113"/>
      <c r="F384" s="113"/>
      <c r="G384" s="113"/>
      <c r="H384" s="113"/>
    </row>
    <row r="385" spans="2:8" ht="12.75">
      <c r="B385" s="113"/>
      <c r="C385" s="113"/>
      <c r="D385" s="113"/>
      <c r="E385" s="113"/>
      <c r="F385" s="113"/>
      <c r="G385" s="113"/>
      <c r="H385" s="113"/>
    </row>
    <row r="386" spans="2:8" ht="12.75">
      <c r="B386" s="113"/>
      <c r="C386" s="113"/>
      <c r="D386" s="113"/>
      <c r="E386" s="113"/>
      <c r="F386" s="113"/>
      <c r="G386" s="113"/>
      <c r="H386" s="113"/>
    </row>
    <row r="387" spans="2:8" ht="12.75">
      <c r="B387" s="113"/>
      <c r="C387" s="113"/>
      <c r="D387" s="113"/>
      <c r="E387" s="113"/>
      <c r="F387" s="113"/>
      <c r="G387" s="113"/>
      <c r="H387" s="113"/>
    </row>
    <row r="388" spans="2:8" ht="12.75">
      <c r="B388" s="113"/>
      <c r="C388" s="113"/>
      <c r="D388" s="113"/>
      <c r="E388" s="113"/>
      <c r="F388" s="113"/>
      <c r="G388" s="113"/>
      <c r="H388" s="113"/>
    </row>
    <row r="389" spans="2:8" ht="12.75">
      <c r="B389" s="113"/>
      <c r="C389" s="113"/>
      <c r="D389" s="113"/>
      <c r="E389" s="113"/>
      <c r="F389" s="113"/>
      <c r="G389" s="113"/>
      <c r="H389" s="113"/>
    </row>
    <row r="390" spans="2:8" ht="12.75">
      <c r="B390" s="113"/>
      <c r="C390" s="113"/>
      <c r="D390" s="113"/>
      <c r="E390" s="113"/>
      <c r="F390" s="113"/>
      <c r="G390" s="113"/>
      <c r="H390" s="113"/>
    </row>
    <row r="391" spans="2:8" ht="12.75">
      <c r="B391" s="113"/>
      <c r="C391" s="113"/>
      <c r="D391" s="113"/>
      <c r="E391" s="113"/>
      <c r="F391" s="113"/>
      <c r="G391" s="113"/>
      <c r="H391" s="113"/>
    </row>
    <row r="392" spans="2:8" ht="12.75">
      <c r="B392" s="113"/>
      <c r="C392" s="113"/>
      <c r="D392" s="113"/>
      <c r="E392" s="113"/>
      <c r="F392" s="113"/>
      <c r="G392" s="113"/>
      <c r="H392" s="113"/>
    </row>
    <row r="393" spans="2:8" ht="12.75">
      <c r="B393" s="113"/>
      <c r="C393" s="113"/>
      <c r="D393" s="113"/>
      <c r="E393" s="113"/>
      <c r="F393" s="113"/>
      <c r="G393" s="113"/>
      <c r="H393" s="113"/>
    </row>
    <row r="394" spans="2:8" ht="12.75">
      <c r="B394" s="113"/>
      <c r="C394" s="113"/>
      <c r="D394" s="113"/>
      <c r="E394" s="113"/>
      <c r="F394" s="113"/>
      <c r="G394" s="113"/>
      <c r="H394" s="113"/>
    </row>
    <row r="395" spans="2:8" ht="12.75">
      <c r="B395" s="113"/>
      <c r="C395" s="113"/>
      <c r="D395" s="113"/>
      <c r="E395" s="113"/>
      <c r="F395" s="113"/>
      <c r="G395" s="113"/>
      <c r="H395" s="113"/>
    </row>
    <row r="396" spans="2:8" ht="12.75">
      <c r="B396" s="113"/>
      <c r="C396" s="113"/>
      <c r="D396" s="113"/>
      <c r="E396" s="113"/>
      <c r="F396" s="113"/>
      <c r="G396" s="113"/>
      <c r="H396" s="113"/>
    </row>
    <row r="397" spans="2:8" ht="12.75">
      <c r="B397" s="113"/>
      <c r="C397" s="113"/>
      <c r="D397" s="113"/>
      <c r="E397" s="113"/>
      <c r="F397" s="113"/>
      <c r="G397" s="113"/>
      <c r="H397" s="113"/>
    </row>
    <row r="398" spans="2:8" ht="12.75">
      <c r="B398" s="113"/>
      <c r="C398" s="113"/>
      <c r="D398" s="113"/>
      <c r="E398" s="113"/>
      <c r="F398" s="113"/>
      <c r="G398" s="113"/>
      <c r="H398" s="113"/>
    </row>
    <row r="399" spans="2:8" ht="12.75">
      <c r="B399" s="113"/>
      <c r="C399" s="113"/>
      <c r="D399" s="113"/>
      <c r="E399" s="113"/>
      <c r="F399" s="113"/>
      <c r="G399" s="113"/>
      <c r="H399" s="113"/>
    </row>
    <row r="400" spans="2:8" ht="12.75">
      <c r="B400" s="113"/>
      <c r="C400" s="113"/>
      <c r="D400" s="113"/>
      <c r="E400" s="113"/>
      <c r="F400" s="113"/>
      <c r="G400" s="113"/>
      <c r="H400" s="113"/>
    </row>
    <row r="401" spans="2:8" ht="12.75">
      <c r="B401" s="113"/>
      <c r="C401" s="113"/>
      <c r="D401" s="113"/>
      <c r="E401" s="113"/>
      <c r="F401" s="113"/>
      <c r="G401" s="113"/>
      <c r="H401" s="113"/>
    </row>
    <row r="402" spans="2:8" ht="12.75">
      <c r="B402" s="113"/>
      <c r="C402" s="113"/>
      <c r="D402" s="113"/>
      <c r="E402" s="113"/>
      <c r="F402" s="113"/>
      <c r="G402" s="113"/>
      <c r="H402" s="113"/>
    </row>
    <row r="403" spans="2:8" ht="12.75">
      <c r="B403" s="113"/>
      <c r="C403" s="113"/>
      <c r="D403" s="113"/>
      <c r="E403" s="113"/>
      <c r="F403" s="113"/>
      <c r="G403" s="113"/>
      <c r="H403" s="113"/>
    </row>
    <row r="404" spans="2:8" ht="12.75">
      <c r="B404" s="113"/>
      <c r="C404" s="113"/>
      <c r="D404" s="113"/>
      <c r="E404" s="113"/>
      <c r="F404" s="113"/>
      <c r="G404" s="113"/>
      <c r="H404" s="113"/>
    </row>
    <row r="405" spans="2:8" ht="12.75">
      <c r="B405" s="113"/>
      <c r="C405" s="113"/>
      <c r="D405" s="113"/>
      <c r="E405" s="113"/>
      <c r="F405" s="113"/>
      <c r="G405" s="113"/>
      <c r="H405" s="113"/>
    </row>
    <row r="406" spans="2:8" ht="12.75">
      <c r="B406" s="113"/>
      <c r="C406" s="113"/>
      <c r="D406" s="113"/>
      <c r="E406" s="113"/>
      <c r="F406" s="113"/>
      <c r="G406" s="113"/>
      <c r="H406" s="113"/>
    </row>
    <row r="407" spans="2:8" ht="12.75">
      <c r="B407" s="113"/>
      <c r="C407" s="113"/>
      <c r="D407" s="113"/>
      <c r="E407" s="113"/>
      <c r="F407" s="113"/>
      <c r="G407" s="113"/>
      <c r="H407" s="113"/>
    </row>
    <row r="408" spans="2:8" ht="12.75">
      <c r="B408" s="113"/>
      <c r="C408" s="113"/>
      <c r="D408" s="113"/>
      <c r="E408" s="113"/>
      <c r="F408" s="113"/>
      <c r="G408" s="113"/>
      <c r="H408" s="113"/>
    </row>
    <row r="409" spans="2:8" ht="12.75">
      <c r="B409" s="113"/>
      <c r="C409" s="113"/>
      <c r="D409" s="113"/>
      <c r="E409" s="113"/>
      <c r="F409" s="113"/>
      <c r="G409" s="113"/>
      <c r="H409" s="113"/>
    </row>
    <row r="410" spans="2:8" ht="12.75">
      <c r="B410" s="113"/>
      <c r="C410" s="113"/>
      <c r="D410" s="113"/>
      <c r="E410" s="113"/>
      <c r="F410" s="113"/>
      <c r="G410" s="113"/>
      <c r="H410" s="113"/>
    </row>
    <row r="411" spans="2:8" ht="12.75">
      <c r="B411" s="113"/>
      <c r="C411" s="113"/>
      <c r="D411" s="113"/>
      <c r="E411" s="113"/>
      <c r="F411" s="113"/>
      <c r="G411" s="113"/>
      <c r="H411" s="113"/>
    </row>
    <row r="412" spans="2:8" ht="12.75">
      <c r="B412" s="113"/>
      <c r="C412" s="113"/>
      <c r="D412" s="113"/>
      <c r="E412" s="113"/>
      <c r="F412" s="113"/>
      <c r="G412" s="113"/>
      <c r="H412" s="113"/>
    </row>
    <row r="413" spans="2:8" ht="12.75">
      <c r="B413" s="113"/>
      <c r="C413" s="113"/>
      <c r="D413" s="113"/>
      <c r="E413" s="113"/>
      <c r="F413" s="113"/>
      <c r="G413" s="113"/>
      <c r="H413" s="113"/>
    </row>
    <row r="414" spans="2:8" ht="12.75">
      <c r="B414" s="113"/>
      <c r="C414" s="113"/>
      <c r="D414" s="113"/>
      <c r="E414" s="113"/>
      <c r="F414" s="113"/>
      <c r="G414" s="113"/>
      <c r="H414" s="113"/>
    </row>
    <row r="415" spans="2:8" ht="12.75">
      <c r="B415" s="113"/>
      <c r="C415" s="113"/>
      <c r="D415" s="113"/>
      <c r="E415" s="113"/>
      <c r="F415" s="113"/>
      <c r="G415" s="113"/>
      <c r="H415" s="113"/>
    </row>
    <row r="416" spans="2:8" ht="12.75">
      <c r="B416" s="113"/>
      <c r="C416" s="113"/>
      <c r="D416" s="113"/>
      <c r="E416" s="113"/>
      <c r="F416" s="113"/>
      <c r="G416" s="113"/>
      <c r="H416" s="113"/>
    </row>
    <row r="417" spans="2:8" ht="12.75">
      <c r="B417" s="113"/>
      <c r="C417" s="113"/>
      <c r="D417" s="113"/>
      <c r="E417" s="113"/>
      <c r="F417" s="113"/>
      <c r="G417" s="113"/>
      <c r="H417" s="113"/>
    </row>
    <row r="418" spans="2:8" ht="12.75">
      <c r="B418" s="113"/>
      <c r="C418" s="113"/>
      <c r="D418" s="113"/>
      <c r="E418" s="113"/>
      <c r="F418" s="113"/>
      <c r="G418" s="113"/>
      <c r="H418" s="113"/>
    </row>
    <row r="419" spans="2:8" ht="12.75">
      <c r="B419" s="113"/>
      <c r="C419" s="113"/>
      <c r="D419" s="113"/>
      <c r="E419" s="113"/>
      <c r="F419" s="113"/>
      <c r="G419" s="113"/>
      <c r="H419" s="113"/>
    </row>
    <row r="420" spans="2:8" ht="12.75">
      <c r="B420" s="113"/>
      <c r="C420" s="113"/>
      <c r="D420" s="113"/>
      <c r="E420" s="113"/>
      <c r="F420" s="113"/>
      <c r="G420" s="113"/>
      <c r="H420" s="113"/>
    </row>
    <row r="421" spans="2:8" ht="12.75">
      <c r="B421" s="113"/>
      <c r="C421" s="113"/>
      <c r="D421" s="113"/>
      <c r="E421" s="113"/>
      <c r="F421" s="113"/>
      <c r="G421" s="113"/>
      <c r="H421" s="113"/>
    </row>
    <row r="422" spans="2:8" ht="12.75">
      <c r="B422" s="113"/>
      <c r="C422" s="113"/>
      <c r="D422" s="113"/>
      <c r="E422" s="113"/>
      <c r="F422" s="113"/>
      <c r="G422" s="113"/>
      <c r="H422" s="113"/>
    </row>
    <row r="423" spans="2:8" ht="12.75">
      <c r="B423" s="113"/>
      <c r="C423" s="113"/>
      <c r="D423" s="113"/>
      <c r="E423" s="113"/>
      <c r="F423" s="113"/>
      <c r="G423" s="113"/>
      <c r="H423" s="113"/>
    </row>
    <row r="424" spans="2:8" ht="12.75">
      <c r="B424" s="113"/>
      <c r="C424" s="113"/>
      <c r="D424" s="113"/>
      <c r="E424" s="113"/>
      <c r="F424" s="113"/>
      <c r="G424" s="113"/>
      <c r="H424" s="113"/>
    </row>
    <row r="425" spans="2:8" ht="12.75">
      <c r="B425" s="113"/>
      <c r="C425" s="113"/>
      <c r="D425" s="113"/>
      <c r="E425" s="113"/>
      <c r="F425" s="113"/>
      <c r="G425" s="113"/>
      <c r="H425" s="113"/>
    </row>
    <row r="426" spans="2:8" ht="12.75">
      <c r="B426" s="113"/>
      <c r="C426" s="113"/>
      <c r="D426" s="113"/>
      <c r="E426" s="113"/>
      <c r="F426" s="113"/>
      <c r="G426" s="113"/>
      <c r="H426" s="113"/>
    </row>
    <row r="427" spans="2:8" ht="12.75">
      <c r="B427" s="113"/>
      <c r="C427" s="113"/>
      <c r="D427" s="113"/>
      <c r="E427" s="113"/>
      <c r="F427" s="113"/>
      <c r="G427" s="113"/>
      <c r="H427" s="113"/>
    </row>
    <row r="428" spans="2:8" ht="12.75">
      <c r="B428" s="113"/>
      <c r="C428" s="113"/>
      <c r="D428" s="113"/>
      <c r="E428" s="113"/>
      <c r="F428" s="113"/>
      <c r="G428" s="113"/>
      <c r="H428" s="113"/>
    </row>
    <row r="429" spans="2:8" ht="12.75">
      <c r="B429" s="113"/>
      <c r="C429" s="113"/>
      <c r="D429" s="113"/>
      <c r="E429" s="113"/>
      <c r="F429" s="113"/>
      <c r="G429" s="113"/>
      <c r="H429" s="113"/>
    </row>
    <row r="430" spans="2:8" ht="12.75">
      <c r="B430" s="113"/>
      <c r="C430" s="113"/>
      <c r="D430" s="113"/>
      <c r="E430" s="113"/>
      <c r="F430" s="113"/>
      <c r="G430" s="113"/>
      <c r="H430" s="113"/>
    </row>
    <row r="431" spans="2:8" ht="12.75">
      <c r="B431" s="113"/>
      <c r="C431" s="113"/>
      <c r="D431" s="113"/>
      <c r="E431" s="113"/>
      <c r="F431" s="113"/>
      <c r="G431" s="113"/>
      <c r="H431" s="113"/>
    </row>
    <row r="432" spans="2:8" ht="12.75">
      <c r="B432" s="113"/>
      <c r="C432" s="113"/>
      <c r="D432" s="113"/>
      <c r="E432" s="113"/>
      <c r="F432" s="113"/>
      <c r="G432" s="113"/>
      <c r="H432" s="113"/>
    </row>
    <row r="433" spans="2:8" ht="12.75">
      <c r="B433" s="113"/>
      <c r="C433" s="113"/>
      <c r="D433" s="113"/>
      <c r="E433" s="113"/>
      <c r="F433" s="113"/>
      <c r="G433" s="113"/>
      <c r="H433" s="113"/>
    </row>
    <row r="434" spans="2:8" ht="12.75">
      <c r="B434" s="113"/>
      <c r="C434" s="113"/>
      <c r="D434" s="113"/>
      <c r="E434" s="113"/>
      <c r="F434" s="113"/>
      <c r="G434" s="113"/>
      <c r="H434" s="113"/>
    </row>
    <row r="435" spans="2:8" ht="12.75">
      <c r="B435" s="113"/>
      <c r="C435" s="113"/>
      <c r="D435" s="113"/>
      <c r="E435" s="113"/>
      <c r="F435" s="113"/>
      <c r="G435" s="113"/>
      <c r="H435" s="113"/>
    </row>
    <row r="436" spans="2:8" ht="12.75">
      <c r="B436" s="113"/>
      <c r="C436" s="113"/>
      <c r="D436" s="113"/>
      <c r="E436" s="113"/>
      <c r="F436" s="113"/>
      <c r="G436" s="113"/>
      <c r="H436" s="113"/>
    </row>
    <row r="437" spans="2:8" ht="12.75">
      <c r="B437" s="113"/>
      <c r="C437" s="113"/>
      <c r="D437" s="113"/>
      <c r="E437" s="113"/>
      <c r="F437" s="113"/>
      <c r="G437" s="113"/>
      <c r="H437" s="113"/>
    </row>
    <row r="438" spans="2:8" ht="12.75">
      <c r="B438" s="113"/>
      <c r="C438" s="113"/>
      <c r="D438" s="113"/>
      <c r="E438" s="113"/>
      <c r="F438" s="113"/>
      <c r="G438" s="113"/>
      <c r="H438" s="113"/>
    </row>
    <row r="439" spans="2:8" ht="12.75">
      <c r="B439" s="113"/>
      <c r="C439" s="113"/>
      <c r="D439" s="113"/>
      <c r="E439" s="113"/>
      <c r="F439" s="113"/>
      <c r="G439" s="113"/>
      <c r="H439" s="113"/>
    </row>
    <row r="440" spans="2:8" ht="12.75">
      <c r="B440" s="113"/>
      <c r="C440" s="113"/>
      <c r="D440" s="113"/>
      <c r="E440" s="113"/>
      <c r="F440" s="113"/>
      <c r="G440" s="113"/>
      <c r="H440" s="113"/>
    </row>
    <row r="441" spans="2:8" ht="12.75">
      <c r="B441" s="113"/>
      <c r="C441" s="113"/>
      <c r="D441" s="113"/>
      <c r="E441" s="113"/>
      <c r="F441" s="113"/>
      <c r="G441" s="113"/>
      <c r="H441" s="113"/>
    </row>
    <row r="442" spans="2:8" ht="12.75">
      <c r="B442" s="113"/>
      <c r="C442" s="113"/>
      <c r="D442" s="113"/>
      <c r="E442" s="113"/>
      <c r="F442" s="113"/>
      <c r="G442" s="113"/>
      <c r="H442" s="113"/>
    </row>
    <row r="443" spans="2:8" ht="12.75">
      <c r="B443" s="113"/>
      <c r="C443" s="113"/>
      <c r="D443" s="113"/>
      <c r="E443" s="113"/>
      <c r="F443" s="113"/>
      <c r="G443" s="113"/>
      <c r="H443" s="113"/>
    </row>
    <row r="444" spans="2:8" ht="12.75">
      <c r="B444" s="113"/>
      <c r="C444" s="113"/>
      <c r="D444" s="113"/>
      <c r="E444" s="113"/>
      <c r="F444" s="113"/>
      <c r="G444" s="113"/>
      <c r="H444" s="113"/>
    </row>
    <row r="445" spans="2:8" ht="12.75">
      <c r="B445" s="113"/>
      <c r="C445" s="113"/>
      <c r="D445" s="113"/>
      <c r="E445" s="113"/>
      <c r="F445" s="113"/>
      <c r="G445" s="113"/>
      <c r="H445" s="113"/>
    </row>
    <row r="446" spans="2:8" ht="12.75">
      <c r="B446" s="113"/>
      <c r="C446" s="113"/>
      <c r="D446" s="113"/>
      <c r="E446" s="113"/>
      <c r="F446" s="113"/>
      <c r="G446" s="113"/>
      <c r="H446" s="113"/>
    </row>
    <row r="447" spans="2:8" ht="12.75">
      <c r="B447" s="113"/>
      <c r="C447" s="113"/>
      <c r="D447" s="113"/>
      <c r="E447" s="113"/>
      <c r="F447" s="113"/>
      <c r="G447" s="113"/>
      <c r="H447" s="113"/>
    </row>
    <row r="448" spans="2:8" ht="12.75">
      <c r="B448" s="113"/>
      <c r="C448" s="113"/>
      <c r="D448" s="113"/>
      <c r="E448" s="113"/>
      <c r="F448" s="113"/>
      <c r="G448" s="113"/>
      <c r="H448" s="113"/>
    </row>
    <row r="449" spans="2:8" ht="12.75">
      <c r="B449" s="113"/>
      <c r="C449" s="113"/>
      <c r="D449" s="113"/>
      <c r="E449" s="113"/>
      <c r="F449" s="113"/>
      <c r="G449" s="113"/>
      <c r="H449" s="113"/>
    </row>
    <row r="450" spans="2:8" ht="12.75">
      <c r="B450" s="113"/>
      <c r="C450" s="113"/>
      <c r="D450" s="113"/>
      <c r="E450" s="113"/>
      <c r="F450" s="113"/>
      <c r="G450" s="113"/>
      <c r="H450" s="113"/>
    </row>
    <row r="451" spans="2:8" ht="12.75">
      <c r="B451" s="113"/>
      <c r="C451" s="113"/>
      <c r="D451" s="113"/>
      <c r="E451" s="113"/>
      <c r="F451" s="113"/>
      <c r="G451" s="113"/>
      <c r="H451" s="113"/>
    </row>
    <row r="452" spans="2:8" ht="12.75">
      <c r="B452" s="113"/>
      <c r="C452" s="113"/>
      <c r="D452" s="113"/>
      <c r="E452" s="113"/>
      <c r="F452" s="113"/>
      <c r="G452" s="113"/>
      <c r="H452" s="113"/>
    </row>
    <row r="453" spans="2:8" ht="12.75">
      <c r="B453" s="113"/>
      <c r="C453" s="113"/>
      <c r="D453" s="113"/>
      <c r="E453" s="113"/>
      <c r="F453" s="113"/>
      <c r="G453" s="113"/>
      <c r="H453" s="113"/>
    </row>
    <row r="454" spans="2:8" ht="12.75">
      <c r="B454" s="113"/>
      <c r="C454" s="113"/>
      <c r="D454" s="113"/>
      <c r="E454" s="113"/>
      <c r="F454" s="113"/>
      <c r="G454" s="113"/>
      <c r="H454" s="113"/>
    </row>
    <row r="455" spans="2:8" ht="12.75">
      <c r="B455" s="113"/>
      <c r="C455" s="113"/>
      <c r="D455" s="113"/>
      <c r="E455" s="113"/>
      <c r="F455" s="113"/>
      <c r="G455" s="113"/>
      <c r="H455" s="113"/>
    </row>
    <row r="456" spans="2:8" ht="12.75">
      <c r="B456" s="113"/>
      <c r="C456" s="113"/>
      <c r="D456" s="113"/>
      <c r="E456" s="113"/>
      <c r="F456" s="113"/>
      <c r="G456" s="113"/>
      <c r="H456" s="113"/>
    </row>
    <row r="457" spans="2:8" ht="12.75">
      <c r="B457" s="113"/>
      <c r="C457" s="113"/>
      <c r="D457" s="113"/>
      <c r="E457" s="113"/>
      <c r="F457" s="113"/>
      <c r="G457" s="113"/>
      <c r="H457" s="113"/>
    </row>
    <row r="458" spans="2:8" ht="12.75">
      <c r="B458" s="113"/>
      <c r="C458" s="113"/>
      <c r="D458" s="113"/>
      <c r="E458" s="113"/>
      <c r="F458" s="113"/>
      <c r="G458" s="113"/>
      <c r="H458" s="113"/>
    </row>
    <row r="459" spans="2:8" ht="12.75">
      <c r="B459" s="113"/>
      <c r="C459" s="113"/>
      <c r="D459" s="113"/>
      <c r="E459" s="113"/>
      <c r="F459" s="113"/>
      <c r="G459" s="113"/>
      <c r="H459" s="113"/>
    </row>
    <row r="460" spans="2:8" ht="12.75">
      <c r="B460" s="113"/>
      <c r="C460" s="113"/>
      <c r="D460" s="113"/>
      <c r="E460" s="113"/>
      <c r="F460" s="113"/>
      <c r="G460" s="113"/>
      <c r="H460" s="113"/>
    </row>
    <row r="461" spans="2:8" ht="12.75">
      <c r="B461" s="113"/>
      <c r="C461" s="113"/>
      <c r="D461" s="113"/>
      <c r="E461" s="113"/>
      <c r="F461" s="113"/>
      <c r="G461" s="113"/>
      <c r="H461" s="113"/>
    </row>
    <row r="462" spans="2:8" ht="12.75">
      <c r="B462" s="113"/>
      <c r="C462" s="113"/>
      <c r="D462" s="113"/>
      <c r="E462" s="113"/>
      <c r="F462" s="113"/>
      <c r="G462" s="113"/>
      <c r="H462" s="113"/>
    </row>
    <row r="463" spans="2:8" ht="12.75">
      <c r="B463" s="113"/>
      <c r="C463" s="113"/>
      <c r="D463" s="113"/>
      <c r="E463" s="113"/>
      <c r="F463" s="113"/>
      <c r="G463" s="113"/>
      <c r="H463" s="113"/>
    </row>
    <row r="464" spans="2:8" ht="12.75">
      <c r="B464" s="113"/>
      <c r="C464" s="113"/>
      <c r="D464" s="113"/>
      <c r="E464" s="113"/>
      <c r="F464" s="113"/>
      <c r="G464" s="113"/>
      <c r="H464" s="113"/>
    </row>
    <row r="465" spans="2:8" ht="12.75">
      <c r="B465" s="113"/>
      <c r="C465" s="113"/>
      <c r="D465" s="113"/>
      <c r="E465" s="113"/>
      <c r="F465" s="113"/>
      <c r="G465" s="113"/>
      <c r="H465" s="113"/>
    </row>
    <row r="466" spans="2:8" ht="12.75">
      <c r="B466" s="113"/>
      <c r="C466" s="113"/>
      <c r="D466" s="113"/>
      <c r="E466" s="113"/>
      <c r="F466" s="113"/>
      <c r="G466" s="113"/>
      <c r="H466" s="113"/>
    </row>
    <row r="467" spans="2:8" ht="12.75">
      <c r="B467" s="113"/>
      <c r="C467" s="113"/>
      <c r="D467" s="113"/>
      <c r="E467" s="113"/>
      <c r="F467" s="113"/>
      <c r="G467" s="113"/>
      <c r="H467" s="113"/>
    </row>
    <row r="468" spans="2:8" ht="12.75">
      <c r="B468" s="113"/>
      <c r="C468" s="113"/>
      <c r="D468" s="113"/>
      <c r="E468" s="113"/>
      <c r="F468" s="113"/>
      <c r="G468" s="113"/>
      <c r="H468" s="113"/>
    </row>
    <row r="469" spans="2:8" ht="12.75">
      <c r="B469" s="113"/>
      <c r="C469" s="113"/>
      <c r="D469" s="113"/>
      <c r="E469" s="113"/>
      <c r="F469" s="113"/>
      <c r="G469" s="113"/>
      <c r="H469" s="113"/>
    </row>
    <row r="470" spans="2:8" ht="12.75">
      <c r="B470" s="113"/>
      <c r="C470" s="113"/>
      <c r="D470" s="113"/>
      <c r="E470" s="113"/>
      <c r="F470" s="113"/>
      <c r="G470" s="113"/>
      <c r="H470" s="113"/>
    </row>
    <row r="471" spans="2:8" ht="12.75">
      <c r="B471" s="113"/>
      <c r="C471" s="113"/>
      <c r="D471" s="113"/>
      <c r="E471" s="113"/>
      <c r="F471" s="113"/>
      <c r="G471" s="113"/>
      <c r="H471" s="113"/>
    </row>
    <row r="472" spans="2:8" ht="12.75">
      <c r="B472" s="113"/>
      <c r="C472" s="113"/>
      <c r="D472" s="113"/>
      <c r="E472" s="113"/>
      <c r="F472" s="113"/>
      <c r="G472" s="113"/>
      <c r="H472" s="113"/>
    </row>
    <row r="473" spans="2:8" ht="12.75">
      <c r="B473" s="113"/>
      <c r="C473" s="113"/>
      <c r="D473" s="113"/>
      <c r="E473" s="113"/>
      <c r="F473" s="113"/>
      <c r="G473" s="113"/>
      <c r="H473" s="113"/>
    </row>
    <row r="474" spans="2:8" ht="12.75">
      <c r="B474" s="113"/>
      <c r="C474" s="113"/>
      <c r="D474" s="113"/>
      <c r="E474" s="113"/>
      <c r="F474" s="113"/>
      <c r="G474" s="113"/>
      <c r="H474" s="113"/>
    </row>
    <row r="475" spans="2:8" ht="12.75">
      <c r="B475" s="113"/>
      <c r="C475" s="113"/>
      <c r="D475" s="113"/>
      <c r="E475" s="113"/>
      <c r="F475" s="113"/>
      <c r="G475" s="113"/>
      <c r="H475" s="113"/>
    </row>
    <row r="476" spans="2:8" ht="12.75">
      <c r="B476" s="113"/>
      <c r="C476" s="113"/>
      <c r="D476" s="113"/>
      <c r="E476" s="113"/>
      <c r="F476" s="113"/>
      <c r="G476" s="113"/>
      <c r="H476" s="113"/>
    </row>
    <row r="477" spans="2:8" ht="12.75">
      <c r="B477" s="113"/>
      <c r="C477" s="113"/>
      <c r="D477" s="113"/>
      <c r="E477" s="113"/>
      <c r="F477" s="113"/>
      <c r="G477" s="113"/>
      <c r="H477" s="113"/>
    </row>
    <row r="478" spans="2:8" ht="12.75">
      <c r="B478" s="113"/>
      <c r="C478" s="113"/>
      <c r="D478" s="113"/>
      <c r="E478" s="113"/>
      <c r="F478" s="113"/>
      <c r="G478" s="113"/>
      <c r="H478" s="113"/>
    </row>
    <row r="479" spans="2:8" ht="12.75">
      <c r="B479" s="113"/>
      <c r="C479" s="113"/>
      <c r="D479" s="113"/>
      <c r="E479" s="113"/>
      <c r="F479" s="113"/>
      <c r="G479" s="113"/>
      <c r="H479" s="113"/>
    </row>
    <row r="480" spans="2:8" ht="12.75">
      <c r="B480" s="113"/>
      <c r="C480" s="113"/>
      <c r="D480" s="113"/>
      <c r="E480" s="113"/>
      <c r="F480" s="113"/>
      <c r="G480" s="113"/>
      <c r="H480" s="113"/>
    </row>
    <row r="481" spans="2:8" ht="12.75">
      <c r="B481" s="113"/>
      <c r="C481" s="113"/>
      <c r="D481" s="113"/>
      <c r="E481" s="113"/>
      <c r="F481" s="113"/>
      <c r="G481" s="113"/>
      <c r="H481" s="113"/>
    </row>
    <row r="482" spans="2:8" ht="12.75">
      <c r="B482" s="113"/>
      <c r="C482" s="113"/>
      <c r="D482" s="113"/>
      <c r="E482" s="113"/>
      <c r="F482" s="113"/>
      <c r="G482" s="113"/>
      <c r="H482" s="113"/>
    </row>
    <row r="483" spans="2:8" ht="12.75">
      <c r="B483" s="113"/>
      <c r="C483" s="113"/>
      <c r="D483" s="113"/>
      <c r="E483" s="113"/>
      <c r="F483" s="113"/>
      <c r="G483" s="113"/>
      <c r="H483" s="113"/>
    </row>
    <row r="484" spans="2:8" ht="12.75">
      <c r="B484" s="113"/>
      <c r="C484" s="113"/>
      <c r="D484" s="113"/>
      <c r="E484" s="113"/>
      <c r="F484" s="113"/>
      <c r="G484" s="113"/>
      <c r="H484" s="113"/>
    </row>
    <row r="485" spans="2:8" ht="12.75">
      <c r="B485" s="113"/>
      <c r="C485" s="113"/>
      <c r="D485" s="113"/>
      <c r="E485" s="113"/>
      <c r="F485" s="113"/>
      <c r="G485" s="113"/>
      <c r="H485" s="113"/>
    </row>
    <row r="486" spans="2:8" ht="12.75">
      <c r="B486" s="113"/>
      <c r="C486" s="113"/>
      <c r="D486" s="113"/>
      <c r="E486" s="113"/>
      <c r="F486" s="113"/>
      <c r="G486" s="113"/>
      <c r="H486" s="113"/>
    </row>
    <row r="487" spans="2:8" ht="12.75">
      <c r="B487" s="113"/>
      <c r="C487" s="113"/>
      <c r="D487" s="113"/>
      <c r="E487" s="113"/>
      <c r="F487" s="113"/>
      <c r="G487" s="113"/>
      <c r="H487" s="113"/>
    </row>
    <row r="488" spans="2:8" ht="12.75">
      <c r="B488" s="113"/>
      <c r="C488" s="113"/>
      <c r="D488" s="113"/>
      <c r="E488" s="113"/>
      <c r="F488" s="113"/>
      <c r="G488" s="113"/>
      <c r="H488" s="113"/>
    </row>
    <row r="489" spans="2:8" ht="12.75">
      <c r="B489" s="113"/>
      <c r="C489" s="113"/>
      <c r="D489" s="113"/>
      <c r="E489" s="113"/>
      <c r="F489" s="113"/>
      <c r="G489" s="113"/>
      <c r="H489" s="113"/>
    </row>
    <row r="490" spans="2:8" ht="12.75">
      <c r="B490" s="113"/>
      <c r="C490" s="113"/>
      <c r="D490" s="113"/>
      <c r="E490" s="113"/>
      <c r="F490" s="113"/>
      <c r="G490" s="113"/>
      <c r="H490" s="113"/>
    </row>
    <row r="491" spans="2:8" ht="12.75">
      <c r="B491" s="113"/>
      <c r="C491" s="113"/>
      <c r="D491" s="113"/>
      <c r="E491" s="113"/>
      <c r="F491" s="113"/>
      <c r="G491" s="113"/>
      <c r="H491" s="113"/>
    </row>
    <row r="492" spans="2:8" ht="12.75">
      <c r="B492" s="113"/>
      <c r="C492" s="113"/>
      <c r="D492" s="113"/>
      <c r="E492" s="113"/>
      <c r="F492" s="113"/>
      <c r="G492" s="113"/>
      <c r="H492" s="113"/>
    </row>
    <row r="493" spans="2:8" ht="12.75">
      <c r="B493" s="113"/>
      <c r="C493" s="113"/>
      <c r="D493" s="113"/>
      <c r="E493" s="113"/>
      <c r="F493" s="113"/>
      <c r="G493" s="113"/>
      <c r="H493" s="113"/>
    </row>
    <row r="494" spans="2:8" ht="12.75">
      <c r="B494" s="113"/>
      <c r="C494" s="113"/>
      <c r="D494" s="113"/>
      <c r="E494" s="113"/>
      <c r="F494" s="113"/>
      <c r="G494" s="113"/>
      <c r="H494" s="113"/>
    </row>
    <row r="495" spans="2:8" ht="12.75">
      <c r="B495" s="113"/>
      <c r="C495" s="113"/>
      <c r="D495" s="113"/>
      <c r="E495" s="113"/>
      <c r="F495" s="113"/>
      <c r="G495" s="113"/>
      <c r="H495" s="113"/>
    </row>
    <row r="496" spans="2:8" ht="12.75">
      <c r="B496" s="113"/>
      <c r="C496" s="113"/>
      <c r="D496" s="113"/>
      <c r="E496" s="113"/>
      <c r="F496" s="113"/>
      <c r="G496" s="113"/>
      <c r="H496" s="113"/>
    </row>
    <row r="497" spans="2:8" ht="12.75">
      <c r="B497" s="113"/>
      <c r="C497" s="113"/>
      <c r="D497" s="113"/>
      <c r="E497" s="113"/>
      <c r="F497" s="113"/>
      <c r="G497" s="113"/>
      <c r="H497" s="113"/>
    </row>
    <row r="498" spans="2:8" ht="12.75">
      <c r="B498" s="113"/>
      <c r="C498" s="113"/>
      <c r="D498" s="113"/>
      <c r="E498" s="113"/>
      <c r="F498" s="113"/>
      <c r="G498" s="113"/>
      <c r="H498" s="113"/>
    </row>
    <row r="499" spans="2:8" ht="12.75">
      <c r="B499" s="113"/>
      <c r="C499" s="113"/>
      <c r="D499" s="113"/>
      <c r="E499" s="113"/>
      <c r="F499" s="113"/>
      <c r="G499" s="113"/>
      <c r="H499" s="113"/>
    </row>
    <row r="500" spans="2:8" ht="12.75">
      <c r="B500" s="113"/>
      <c r="C500" s="113"/>
      <c r="D500" s="113"/>
      <c r="E500" s="113"/>
      <c r="F500" s="113"/>
      <c r="G500" s="113"/>
      <c r="H500" s="113"/>
    </row>
    <row r="501" spans="2:8" ht="12.75">
      <c r="B501" s="113"/>
      <c r="C501" s="113"/>
      <c r="D501" s="113"/>
      <c r="E501" s="113"/>
      <c r="F501" s="113"/>
      <c r="G501" s="113"/>
      <c r="H501" s="113"/>
    </row>
    <row r="502" spans="2:8" ht="12.75">
      <c r="B502" s="113"/>
      <c r="C502" s="113"/>
      <c r="D502" s="113"/>
      <c r="E502" s="113"/>
      <c r="F502" s="113"/>
      <c r="G502" s="113"/>
      <c r="H502" s="113"/>
    </row>
    <row r="503" spans="2:8" ht="12.75">
      <c r="B503" s="113"/>
      <c r="C503" s="113"/>
      <c r="D503" s="113"/>
      <c r="E503" s="113"/>
      <c r="F503" s="113"/>
      <c r="G503" s="113"/>
      <c r="H503" s="113"/>
    </row>
    <row r="504" spans="2:8" ht="12.75">
      <c r="B504" s="113"/>
      <c r="C504" s="113"/>
      <c r="D504" s="113"/>
      <c r="E504" s="113"/>
      <c r="F504" s="113"/>
      <c r="G504" s="113"/>
      <c r="H504" s="113"/>
    </row>
    <row r="505" spans="2:8" ht="12.75">
      <c r="B505" s="113"/>
      <c r="C505" s="113"/>
      <c r="D505" s="113"/>
      <c r="E505" s="113"/>
      <c r="F505" s="113"/>
      <c r="G505" s="113"/>
      <c r="H505" s="113"/>
    </row>
    <row r="506" spans="2:8" ht="12.75">
      <c r="B506" s="113"/>
      <c r="C506" s="113"/>
      <c r="D506" s="113"/>
      <c r="E506" s="113"/>
      <c r="F506" s="113"/>
      <c r="G506" s="113"/>
      <c r="H506" s="113"/>
    </row>
    <row r="507" spans="2:8" ht="12.75">
      <c r="B507" s="113"/>
      <c r="C507" s="113"/>
      <c r="D507" s="113"/>
      <c r="E507" s="113"/>
      <c r="F507" s="113"/>
      <c r="G507" s="113"/>
      <c r="H507" s="113"/>
    </row>
    <row r="508" spans="2:8" ht="12.75">
      <c r="B508" s="113"/>
      <c r="C508" s="113"/>
      <c r="D508" s="113"/>
      <c r="E508" s="113"/>
      <c r="F508" s="113"/>
      <c r="G508" s="113"/>
      <c r="H508" s="113"/>
    </row>
    <row r="509" spans="2:8" ht="12.75">
      <c r="B509" s="113"/>
      <c r="C509" s="113"/>
      <c r="D509" s="113"/>
      <c r="E509" s="113"/>
      <c r="F509" s="113"/>
      <c r="G509" s="113"/>
      <c r="H509" s="113"/>
    </row>
    <row r="510" spans="2:8" ht="12.75">
      <c r="B510" s="113"/>
      <c r="C510" s="113"/>
      <c r="D510" s="113"/>
      <c r="E510" s="113"/>
      <c r="F510" s="113"/>
      <c r="G510" s="113"/>
      <c r="H510" s="113"/>
    </row>
    <row r="511" spans="2:8" ht="12.75">
      <c r="B511" s="113"/>
      <c r="C511" s="113"/>
      <c r="D511" s="113"/>
      <c r="E511" s="113"/>
      <c r="F511" s="113"/>
      <c r="G511" s="113"/>
      <c r="H511" s="113"/>
    </row>
    <row r="512" spans="2:8" ht="12.75">
      <c r="B512" s="113"/>
      <c r="C512" s="113"/>
      <c r="D512" s="113"/>
      <c r="E512" s="113"/>
      <c r="F512" s="113"/>
      <c r="G512" s="113"/>
      <c r="H512" s="113"/>
    </row>
    <row r="513" spans="2:8" ht="12.75">
      <c r="B513" s="113"/>
      <c r="C513" s="113"/>
      <c r="D513" s="113"/>
      <c r="E513" s="113"/>
      <c r="F513" s="113"/>
      <c r="G513" s="113"/>
      <c r="H513" s="113"/>
    </row>
    <row r="514" spans="2:8" ht="12.75">
      <c r="B514" s="113"/>
      <c r="C514" s="113"/>
      <c r="D514" s="113"/>
      <c r="E514" s="113"/>
      <c r="F514" s="113"/>
      <c r="G514" s="113"/>
      <c r="H514" s="113"/>
    </row>
    <row r="515" spans="2:8" ht="12.75">
      <c r="B515" s="113"/>
      <c r="C515" s="113"/>
      <c r="D515" s="113"/>
      <c r="E515" s="113"/>
      <c r="F515" s="113"/>
      <c r="G515" s="113"/>
      <c r="H515" s="113"/>
    </row>
    <row r="516" spans="2:8" ht="12.75">
      <c r="B516" s="113"/>
      <c r="C516" s="113"/>
      <c r="D516" s="113"/>
      <c r="E516" s="113"/>
      <c r="F516" s="113"/>
      <c r="G516" s="113"/>
      <c r="H516" s="113"/>
    </row>
    <row r="517" spans="2:8" ht="12.75">
      <c r="B517" s="113"/>
      <c r="C517" s="113"/>
      <c r="D517" s="113"/>
      <c r="E517" s="113"/>
      <c r="F517" s="113"/>
      <c r="G517" s="113"/>
      <c r="H517" s="113"/>
    </row>
    <row r="518" spans="2:8" ht="12.75">
      <c r="B518" s="113"/>
      <c r="C518" s="113"/>
      <c r="D518" s="113"/>
      <c r="E518" s="113"/>
      <c r="F518" s="113"/>
      <c r="G518" s="113"/>
      <c r="H518" s="113"/>
    </row>
    <row r="519" spans="2:8" ht="12.75">
      <c r="B519" s="113"/>
      <c r="C519" s="113"/>
      <c r="D519" s="113"/>
      <c r="E519" s="113"/>
      <c r="F519" s="113"/>
      <c r="G519" s="113"/>
      <c r="H519" s="113"/>
    </row>
    <row r="520" spans="2:8" ht="12.75">
      <c r="B520" s="113"/>
      <c r="C520" s="113"/>
      <c r="D520" s="113"/>
      <c r="E520" s="113"/>
      <c r="F520" s="113"/>
      <c r="G520" s="113"/>
      <c r="H520" s="113"/>
    </row>
    <row r="521" spans="2:8" ht="12.75">
      <c r="B521" s="113"/>
      <c r="C521" s="113"/>
      <c r="D521" s="113"/>
      <c r="E521" s="113"/>
      <c r="F521" s="113"/>
      <c r="G521" s="113"/>
      <c r="H521" s="113"/>
    </row>
    <row r="522" spans="2:8" ht="12.75">
      <c r="B522" s="113"/>
      <c r="C522" s="113"/>
      <c r="D522" s="113"/>
      <c r="E522" s="113"/>
      <c r="F522" s="113"/>
      <c r="G522" s="113"/>
      <c r="H522" s="113"/>
    </row>
    <row r="523" spans="2:8" ht="12.75">
      <c r="B523" s="113"/>
      <c r="C523" s="113"/>
      <c r="D523" s="113"/>
      <c r="E523" s="113"/>
      <c r="F523" s="113"/>
      <c r="G523" s="113"/>
      <c r="H523" s="113"/>
    </row>
    <row r="524" spans="2:8" ht="12.75">
      <c r="B524" s="113"/>
      <c r="C524" s="113"/>
      <c r="D524" s="113"/>
      <c r="E524" s="113"/>
      <c r="F524" s="113"/>
      <c r="G524" s="113"/>
      <c r="H524" s="113"/>
    </row>
    <row r="525" spans="2:8" ht="12.75">
      <c r="B525" s="113"/>
      <c r="C525" s="113"/>
      <c r="D525" s="113"/>
      <c r="E525" s="113"/>
      <c r="F525" s="113"/>
      <c r="G525" s="113"/>
      <c r="H525" s="113"/>
    </row>
    <row r="526" spans="2:8" ht="12.75">
      <c r="B526" s="113"/>
      <c r="C526" s="113"/>
      <c r="D526" s="113"/>
      <c r="E526" s="113"/>
      <c r="F526" s="113"/>
      <c r="G526" s="113"/>
      <c r="H526" s="113"/>
    </row>
    <row r="527" spans="2:8" ht="12.75">
      <c r="B527" s="113"/>
      <c r="C527" s="113"/>
      <c r="D527" s="113"/>
      <c r="E527" s="113"/>
      <c r="F527" s="113"/>
      <c r="G527" s="113"/>
      <c r="H527" s="113"/>
    </row>
    <row r="528" spans="2:8" ht="12.75">
      <c r="B528" s="113"/>
      <c r="C528" s="113"/>
      <c r="D528" s="113"/>
      <c r="E528" s="113"/>
      <c r="F528" s="113"/>
      <c r="G528" s="113"/>
      <c r="H528" s="113"/>
    </row>
    <row r="529" spans="2:8" ht="12.75">
      <c r="B529" s="113"/>
      <c r="C529" s="113"/>
      <c r="D529" s="113"/>
      <c r="E529" s="113"/>
      <c r="F529" s="113"/>
      <c r="G529" s="113"/>
      <c r="H529" s="113"/>
    </row>
    <row r="530" spans="2:8" ht="12.75">
      <c r="B530" s="113"/>
      <c r="C530" s="113"/>
      <c r="D530" s="113"/>
      <c r="E530" s="113"/>
      <c r="F530" s="113"/>
      <c r="G530" s="113"/>
      <c r="H530" s="113"/>
    </row>
    <row r="531" spans="2:8" ht="12.75">
      <c r="B531" s="113"/>
      <c r="C531" s="113"/>
      <c r="D531" s="113"/>
      <c r="E531" s="113"/>
      <c r="F531" s="113"/>
      <c r="G531" s="113"/>
      <c r="H531" s="113"/>
    </row>
    <row r="532" spans="2:8" ht="12.75">
      <c r="B532" s="113"/>
      <c r="C532" s="113"/>
      <c r="D532" s="113"/>
      <c r="E532" s="113"/>
      <c r="F532" s="113"/>
      <c r="G532" s="113"/>
      <c r="H532" s="113"/>
    </row>
    <row r="533" spans="2:8" ht="12.75">
      <c r="B533" s="113"/>
      <c r="C533" s="113"/>
      <c r="D533" s="113"/>
      <c r="E533" s="113"/>
      <c r="F533" s="113"/>
      <c r="G533" s="113"/>
      <c r="H533" s="113"/>
    </row>
    <row r="534" spans="2:8" ht="12.75">
      <c r="B534" s="113"/>
      <c r="C534" s="113"/>
      <c r="D534" s="113"/>
      <c r="E534" s="113"/>
      <c r="F534" s="113"/>
      <c r="G534" s="113"/>
      <c r="H534" s="113"/>
    </row>
    <row r="535" spans="2:8" ht="12.75">
      <c r="B535" s="113"/>
      <c r="C535" s="113"/>
      <c r="D535" s="113"/>
      <c r="E535" s="113"/>
      <c r="F535" s="113"/>
      <c r="G535" s="113"/>
      <c r="H535" s="113"/>
    </row>
    <row r="536" spans="2:8" ht="12.75">
      <c r="B536" s="113"/>
      <c r="C536" s="113"/>
      <c r="D536" s="113"/>
      <c r="E536" s="113"/>
      <c r="F536" s="113"/>
      <c r="G536" s="113"/>
      <c r="H536" s="113"/>
    </row>
    <row r="537" spans="2:8" ht="12.75">
      <c r="B537" s="113"/>
      <c r="C537" s="113"/>
      <c r="D537" s="113"/>
      <c r="E537" s="113"/>
      <c r="F537" s="113"/>
      <c r="G537" s="113"/>
      <c r="H537" s="113"/>
    </row>
    <row r="538" spans="2:8" ht="12.75">
      <c r="B538" s="113"/>
      <c r="C538" s="113"/>
      <c r="D538" s="113"/>
      <c r="E538" s="113"/>
      <c r="F538" s="113"/>
      <c r="G538" s="113"/>
      <c r="H538" s="113"/>
    </row>
    <row r="539" spans="2:8" ht="12.75">
      <c r="B539" s="113"/>
      <c r="C539" s="113"/>
      <c r="D539" s="113"/>
      <c r="E539" s="113"/>
      <c r="F539" s="113"/>
      <c r="G539" s="113"/>
      <c r="H539" s="113"/>
    </row>
    <row r="540" spans="2:8" ht="12.75">
      <c r="B540" s="113"/>
      <c r="C540" s="113"/>
      <c r="D540" s="113"/>
      <c r="E540" s="113"/>
      <c r="F540" s="113"/>
      <c r="G540" s="113"/>
      <c r="H540" s="113"/>
    </row>
    <row r="541" spans="2:8" ht="12.75">
      <c r="B541" s="113"/>
      <c r="C541" s="113"/>
      <c r="D541" s="113"/>
      <c r="E541" s="113"/>
      <c r="F541" s="113"/>
      <c r="G541" s="113"/>
      <c r="H541" s="113"/>
    </row>
    <row r="542" spans="2:8" ht="12.75">
      <c r="B542" s="113"/>
      <c r="C542" s="113"/>
      <c r="D542" s="113"/>
      <c r="E542" s="113"/>
      <c r="F542" s="113"/>
      <c r="G542" s="113"/>
      <c r="H542" s="113"/>
    </row>
    <row r="543" spans="2:8" ht="12.75">
      <c r="B543" s="113"/>
      <c r="C543" s="113"/>
      <c r="D543" s="113"/>
      <c r="E543" s="113"/>
      <c r="F543" s="113"/>
      <c r="G543" s="113"/>
      <c r="H543" s="113"/>
    </row>
    <row r="544" spans="2:8" ht="12.75">
      <c r="B544" s="113"/>
      <c r="C544" s="113"/>
      <c r="D544" s="113"/>
      <c r="E544" s="113"/>
      <c r="F544" s="113"/>
      <c r="G544" s="113"/>
      <c r="H544" s="113"/>
    </row>
    <row r="545" spans="2:8" ht="12.75">
      <c r="B545" s="113"/>
      <c r="C545" s="113"/>
      <c r="D545" s="113"/>
      <c r="E545" s="113"/>
      <c r="F545" s="113"/>
      <c r="G545" s="113"/>
      <c r="H545" s="113"/>
    </row>
    <row r="546" spans="2:8" ht="12.75">
      <c r="B546" s="113"/>
      <c r="C546" s="113"/>
      <c r="D546" s="113"/>
      <c r="E546" s="113"/>
      <c r="F546" s="113"/>
      <c r="G546" s="113"/>
      <c r="H546" s="113"/>
    </row>
    <row r="547" spans="2:8" ht="12.75">
      <c r="B547" s="113"/>
      <c r="C547" s="113"/>
      <c r="D547" s="113"/>
      <c r="E547" s="113"/>
      <c r="F547" s="113"/>
      <c r="G547" s="113"/>
      <c r="H547" s="113"/>
    </row>
    <row r="548" spans="2:8" ht="12.75">
      <c r="B548" s="113"/>
      <c r="C548" s="113"/>
      <c r="D548" s="113"/>
      <c r="E548" s="113"/>
      <c r="F548" s="113"/>
      <c r="G548" s="113"/>
      <c r="H548" s="113"/>
    </row>
    <row r="549" spans="2:8" ht="12.75">
      <c r="B549" s="113"/>
      <c r="C549" s="113"/>
      <c r="D549" s="113"/>
      <c r="E549" s="113"/>
      <c r="F549" s="113"/>
      <c r="G549" s="113"/>
      <c r="H549" s="113"/>
    </row>
    <row r="550" spans="2:8" ht="12.75">
      <c r="B550" s="113"/>
      <c r="C550" s="113"/>
      <c r="D550" s="113"/>
      <c r="E550" s="113"/>
      <c r="F550" s="113"/>
      <c r="G550" s="113"/>
      <c r="H550" s="113"/>
    </row>
    <row r="551" spans="2:8" ht="12.75">
      <c r="B551" s="113"/>
      <c r="C551" s="113"/>
      <c r="D551" s="113"/>
      <c r="E551" s="113"/>
      <c r="F551" s="113"/>
      <c r="G551" s="113"/>
      <c r="H551" s="113"/>
    </row>
    <row r="552" spans="2:8" ht="12.75">
      <c r="B552" s="113"/>
      <c r="C552" s="113"/>
      <c r="D552" s="113"/>
      <c r="E552" s="113"/>
      <c r="F552" s="113"/>
      <c r="G552" s="113"/>
      <c r="H552" s="113"/>
    </row>
    <row r="553" spans="2:8" ht="12.75">
      <c r="B553" s="113"/>
      <c r="C553" s="113"/>
      <c r="D553" s="113"/>
      <c r="E553" s="113"/>
      <c r="F553" s="113"/>
      <c r="G553" s="113"/>
      <c r="H553" s="113"/>
    </row>
    <row r="554" spans="2:8" ht="12.75">
      <c r="B554" s="113"/>
      <c r="C554" s="113"/>
      <c r="D554" s="113"/>
      <c r="E554" s="113"/>
      <c r="F554" s="113"/>
      <c r="G554" s="113"/>
      <c r="H554" s="113"/>
    </row>
    <row r="555" spans="2:8" ht="12.75">
      <c r="B555" s="113"/>
      <c r="C555" s="113"/>
      <c r="D555" s="113"/>
      <c r="E555" s="113"/>
      <c r="F555" s="113"/>
      <c r="G555" s="113"/>
      <c r="H555" s="113"/>
    </row>
    <row r="556" spans="2:8" ht="12.75">
      <c r="B556" s="113"/>
      <c r="C556" s="113"/>
      <c r="D556" s="113"/>
      <c r="E556" s="113"/>
      <c r="F556" s="113"/>
      <c r="G556" s="113"/>
      <c r="H556" s="113"/>
    </row>
    <row r="557" spans="2:8" ht="12.75">
      <c r="B557" s="113"/>
      <c r="C557" s="113"/>
      <c r="D557" s="113"/>
      <c r="E557" s="113"/>
      <c r="F557" s="113"/>
      <c r="G557" s="113"/>
      <c r="H557" s="113"/>
    </row>
    <row r="558" spans="2:8" ht="12.75">
      <c r="B558" s="113"/>
      <c r="C558" s="113"/>
      <c r="D558" s="113"/>
      <c r="E558" s="113"/>
      <c r="F558" s="113"/>
      <c r="G558" s="113"/>
      <c r="H558" s="113"/>
    </row>
    <row r="559" spans="2:8" ht="12.75">
      <c r="B559" s="113"/>
      <c r="C559" s="113"/>
      <c r="D559" s="113"/>
      <c r="E559" s="113"/>
      <c r="F559" s="113"/>
      <c r="G559" s="113"/>
      <c r="H559" s="113"/>
    </row>
    <row r="560" spans="2:8" ht="12.75">
      <c r="B560" s="113"/>
      <c r="C560" s="113"/>
      <c r="D560" s="113"/>
      <c r="E560" s="113"/>
      <c r="F560" s="113"/>
      <c r="G560" s="113"/>
      <c r="H560" s="113"/>
    </row>
    <row r="561" spans="2:8" ht="12.75">
      <c r="B561" s="113"/>
      <c r="C561" s="113"/>
      <c r="D561" s="113"/>
      <c r="E561" s="113"/>
      <c r="F561" s="113"/>
      <c r="G561" s="113"/>
      <c r="H561" s="113"/>
    </row>
    <row r="562" spans="2:8" ht="12.75">
      <c r="B562" s="113"/>
      <c r="C562" s="113"/>
      <c r="D562" s="113"/>
      <c r="E562" s="113"/>
      <c r="F562" s="113"/>
      <c r="G562" s="113"/>
      <c r="H562" s="113"/>
    </row>
    <row r="563" spans="2:8" ht="12.75">
      <c r="B563" s="113"/>
      <c r="C563" s="113"/>
      <c r="D563" s="113"/>
      <c r="E563" s="113"/>
      <c r="F563" s="113"/>
      <c r="G563" s="113"/>
      <c r="H563" s="113"/>
    </row>
    <row r="564" spans="2:8" ht="12.75">
      <c r="B564" s="113"/>
      <c r="C564" s="113"/>
      <c r="D564" s="113"/>
      <c r="E564" s="113"/>
      <c r="F564" s="113"/>
      <c r="G564" s="113"/>
      <c r="H564" s="113"/>
    </row>
    <row r="565" spans="2:8" ht="12.75">
      <c r="B565" s="113"/>
      <c r="C565" s="113"/>
      <c r="D565" s="113"/>
      <c r="E565" s="113"/>
      <c r="F565" s="113"/>
      <c r="G565" s="113"/>
      <c r="H565" s="113"/>
    </row>
    <row r="566" spans="2:8" ht="12.75">
      <c r="B566" s="113"/>
      <c r="C566" s="113"/>
      <c r="D566" s="113"/>
      <c r="E566" s="113"/>
      <c r="F566" s="113"/>
      <c r="G566" s="113"/>
      <c r="H566" s="113"/>
    </row>
    <row r="567" spans="2:8" ht="12.75">
      <c r="B567" s="113"/>
      <c r="C567" s="113"/>
      <c r="D567" s="113"/>
      <c r="E567" s="113"/>
      <c r="F567" s="113"/>
      <c r="G567" s="113"/>
      <c r="H567" s="113"/>
    </row>
    <row r="568" spans="2:8" ht="12.75">
      <c r="B568" s="113"/>
      <c r="C568" s="113"/>
      <c r="D568" s="113"/>
      <c r="E568" s="113"/>
      <c r="F568" s="113"/>
      <c r="G568" s="113"/>
      <c r="H568" s="113"/>
    </row>
    <row r="569" spans="2:8" ht="12.75">
      <c r="B569" s="113"/>
      <c r="C569" s="113"/>
      <c r="D569" s="113"/>
      <c r="E569" s="113"/>
      <c r="F569" s="113"/>
      <c r="G569" s="113"/>
      <c r="H569" s="113"/>
    </row>
    <row r="570" spans="2:8" ht="12.75">
      <c r="B570" s="113"/>
      <c r="C570" s="113"/>
      <c r="D570" s="113"/>
      <c r="E570" s="113"/>
      <c r="F570" s="113"/>
      <c r="G570" s="113"/>
      <c r="H570" s="113"/>
    </row>
    <row r="571" spans="2:8" ht="12.75">
      <c r="B571" s="113"/>
      <c r="C571" s="113"/>
      <c r="D571" s="113"/>
      <c r="E571" s="113"/>
      <c r="F571" s="113"/>
      <c r="G571" s="113"/>
      <c r="H571" s="113"/>
    </row>
    <row r="572" spans="2:8" ht="12.75">
      <c r="B572" s="113"/>
      <c r="C572" s="113"/>
      <c r="D572" s="113"/>
      <c r="E572" s="113"/>
      <c r="F572" s="113"/>
      <c r="G572" s="113"/>
      <c r="H572" s="113"/>
    </row>
    <row r="573" spans="2:8" ht="12.75">
      <c r="B573" s="113"/>
      <c r="C573" s="113"/>
      <c r="D573" s="113"/>
      <c r="E573" s="113"/>
      <c r="F573" s="113"/>
      <c r="G573" s="113"/>
      <c r="H573" s="113"/>
    </row>
    <row r="574" spans="2:8" ht="12.75">
      <c r="B574" s="113"/>
      <c r="C574" s="113"/>
      <c r="D574" s="113"/>
      <c r="E574" s="113"/>
      <c r="F574" s="113"/>
      <c r="G574" s="113"/>
      <c r="H574" s="113"/>
    </row>
    <row r="575" spans="2:8" ht="12.75">
      <c r="B575" s="113"/>
      <c r="C575" s="113"/>
      <c r="D575" s="113"/>
      <c r="E575" s="113"/>
      <c r="F575" s="113"/>
      <c r="G575" s="113"/>
      <c r="H575" s="113"/>
    </row>
    <row r="576" spans="2:8" ht="12.75">
      <c r="B576" s="113"/>
      <c r="C576" s="113"/>
      <c r="D576" s="113"/>
      <c r="E576" s="113"/>
      <c r="F576" s="113"/>
      <c r="G576" s="113"/>
      <c r="H576" s="113"/>
    </row>
    <row r="577" spans="2:8" ht="12.75">
      <c r="B577" s="113"/>
      <c r="C577" s="113"/>
      <c r="D577" s="113"/>
      <c r="E577" s="113"/>
      <c r="F577" s="113"/>
      <c r="G577" s="113"/>
      <c r="H577" s="113"/>
    </row>
    <row r="578" spans="2:8" ht="12.75">
      <c r="B578" s="113"/>
      <c r="C578" s="113"/>
      <c r="D578" s="113"/>
      <c r="E578" s="113"/>
      <c r="F578" s="113"/>
      <c r="G578" s="113"/>
      <c r="H578" s="113"/>
    </row>
    <row r="579" spans="2:8" ht="12.75">
      <c r="B579" s="113"/>
      <c r="C579" s="113"/>
      <c r="D579" s="113"/>
      <c r="E579" s="113"/>
      <c r="F579" s="113"/>
      <c r="G579" s="113"/>
      <c r="H579" s="113"/>
    </row>
    <row r="580" spans="2:8" ht="12.75">
      <c r="B580" s="113"/>
      <c r="C580" s="113"/>
      <c r="D580" s="113"/>
      <c r="E580" s="113"/>
      <c r="F580" s="113"/>
      <c r="G580" s="113"/>
      <c r="H580" s="113"/>
    </row>
    <row r="581" spans="2:8" ht="12.75">
      <c r="B581" s="113"/>
      <c r="C581" s="113"/>
      <c r="D581" s="113"/>
      <c r="E581" s="113"/>
      <c r="F581" s="113"/>
      <c r="G581" s="113"/>
      <c r="H581" s="113"/>
    </row>
    <row r="582" spans="2:8" ht="12.75">
      <c r="B582" s="113"/>
      <c r="C582" s="113"/>
      <c r="D582" s="113"/>
      <c r="E582" s="113"/>
      <c r="F582" s="113"/>
      <c r="G582" s="113"/>
      <c r="H582" s="113"/>
    </row>
    <row r="583" spans="2:8" ht="12.75">
      <c r="B583" s="113"/>
      <c r="C583" s="113"/>
      <c r="D583" s="113"/>
      <c r="E583" s="113"/>
      <c r="F583" s="113"/>
      <c r="G583" s="113"/>
      <c r="H583" s="113"/>
    </row>
    <row r="584" spans="2:8" ht="12.75">
      <c r="B584" s="113"/>
      <c r="C584" s="113"/>
      <c r="D584" s="113"/>
      <c r="E584" s="113"/>
      <c r="F584" s="113"/>
      <c r="G584" s="113"/>
      <c r="H584" s="113"/>
    </row>
    <row r="585" spans="2:8" ht="12.75">
      <c r="B585" s="113"/>
      <c r="C585" s="113"/>
      <c r="D585" s="113"/>
      <c r="E585" s="113"/>
      <c r="F585" s="113"/>
      <c r="G585" s="113"/>
      <c r="H585" s="113"/>
    </row>
    <row r="586" spans="2:8" ht="12.75">
      <c r="B586" s="113"/>
      <c r="C586" s="113"/>
      <c r="D586" s="113"/>
      <c r="E586" s="113"/>
      <c r="F586" s="113"/>
      <c r="G586" s="113"/>
      <c r="H586" s="113"/>
    </row>
    <row r="587" spans="2:8" ht="12.75">
      <c r="B587" s="113"/>
      <c r="C587" s="113"/>
      <c r="D587" s="113"/>
      <c r="E587" s="113"/>
      <c r="F587" s="113"/>
      <c r="G587" s="113"/>
      <c r="H587" s="113"/>
    </row>
    <row r="588" spans="2:8" ht="12.75">
      <c r="B588" s="113"/>
      <c r="C588" s="113"/>
      <c r="D588" s="113"/>
      <c r="E588" s="113"/>
      <c r="F588" s="113"/>
      <c r="G588" s="113"/>
      <c r="H588" s="113"/>
    </row>
    <row r="589" spans="2:8" ht="12.75">
      <c r="B589" s="113"/>
      <c r="C589" s="113"/>
      <c r="D589" s="113"/>
      <c r="E589" s="113"/>
      <c r="F589" s="113"/>
      <c r="G589" s="113"/>
      <c r="H589" s="113"/>
    </row>
    <row r="590" spans="2:8" ht="12.75">
      <c r="B590" s="113"/>
      <c r="C590" s="113"/>
      <c r="D590" s="113"/>
      <c r="E590" s="113"/>
      <c r="F590" s="113"/>
      <c r="G590" s="113"/>
      <c r="H590" s="113"/>
    </row>
    <row r="591" spans="2:8" ht="12.75">
      <c r="B591" s="113"/>
      <c r="C591" s="113"/>
      <c r="D591" s="113"/>
      <c r="E591" s="113"/>
      <c r="F591" s="113"/>
      <c r="G591" s="113"/>
      <c r="H591" s="113"/>
    </row>
    <row r="592" spans="2:8" ht="12.75">
      <c r="B592" s="113"/>
      <c r="C592" s="113"/>
      <c r="D592" s="113"/>
      <c r="E592" s="113"/>
      <c r="F592" s="113"/>
      <c r="G592" s="113"/>
      <c r="H592" s="113"/>
    </row>
    <row r="593" spans="2:8" ht="12.75">
      <c r="B593" s="113"/>
      <c r="C593" s="113"/>
      <c r="D593" s="113"/>
      <c r="E593" s="113"/>
      <c r="F593" s="113"/>
      <c r="G593" s="113"/>
      <c r="H593" s="113"/>
    </row>
    <row r="594" spans="2:8" ht="12.75">
      <c r="B594" s="113"/>
      <c r="C594" s="113"/>
      <c r="D594" s="113"/>
      <c r="E594" s="113"/>
      <c r="F594" s="113"/>
      <c r="G594" s="113"/>
      <c r="H594" s="113"/>
    </row>
    <row r="595" spans="2:8" ht="12.75">
      <c r="B595" s="113"/>
      <c r="C595" s="113"/>
      <c r="D595" s="113"/>
      <c r="E595" s="113"/>
      <c r="F595" s="113"/>
      <c r="G595" s="113"/>
      <c r="H595" s="113"/>
    </row>
    <row r="596" spans="2:8" ht="12.75">
      <c r="B596" s="113"/>
      <c r="C596" s="113"/>
      <c r="D596" s="113"/>
      <c r="E596" s="113"/>
      <c r="F596" s="113"/>
      <c r="G596" s="113"/>
      <c r="H596" s="113"/>
    </row>
    <row r="597" spans="2:8" ht="12.75">
      <c r="B597" s="113"/>
      <c r="C597" s="113"/>
      <c r="D597" s="113"/>
      <c r="E597" s="113"/>
      <c r="F597" s="113"/>
      <c r="G597" s="113"/>
      <c r="H597" s="113"/>
    </row>
    <row r="598" spans="2:8" ht="12.75">
      <c r="B598" s="113"/>
      <c r="C598" s="113"/>
      <c r="D598" s="113"/>
      <c r="E598" s="113"/>
      <c r="F598" s="113"/>
      <c r="G598" s="113"/>
      <c r="H598" s="113"/>
    </row>
    <row r="599" spans="2:8" ht="12.75">
      <c r="B599" s="113"/>
      <c r="C599" s="113"/>
      <c r="D599" s="113"/>
      <c r="E599" s="113"/>
      <c r="F599" s="113"/>
      <c r="G599" s="113"/>
      <c r="H599" s="113"/>
    </row>
    <row r="600" spans="2:8" ht="12.75">
      <c r="B600" s="113"/>
      <c r="C600" s="113"/>
      <c r="D600" s="113"/>
      <c r="E600" s="113"/>
      <c r="F600" s="113"/>
      <c r="G600" s="113"/>
      <c r="H600" s="113"/>
    </row>
    <row r="601" spans="2:8" ht="12.75">
      <c r="B601" s="113"/>
      <c r="C601" s="113"/>
      <c r="D601" s="113"/>
      <c r="E601" s="113"/>
      <c r="F601" s="113"/>
      <c r="G601" s="113"/>
      <c r="H601" s="113"/>
    </row>
    <row r="602" spans="2:8" ht="12.75">
      <c r="B602" s="113"/>
      <c r="C602" s="113"/>
      <c r="D602" s="113"/>
      <c r="E602" s="113"/>
      <c r="F602" s="113"/>
      <c r="G602" s="113"/>
      <c r="H602" s="113"/>
    </row>
    <row r="603" spans="2:8" ht="12.75">
      <c r="B603" s="113"/>
      <c r="C603" s="113"/>
      <c r="D603" s="113"/>
      <c r="E603" s="113"/>
      <c r="F603" s="113"/>
      <c r="G603" s="113"/>
      <c r="H603" s="113"/>
    </row>
    <row r="604" spans="2:8" ht="12.75">
      <c r="B604" s="113"/>
      <c r="C604" s="113"/>
      <c r="D604" s="113"/>
      <c r="E604" s="113"/>
      <c r="F604" s="113"/>
      <c r="G604" s="113"/>
      <c r="H604" s="113"/>
    </row>
    <row r="605" spans="2:8" ht="12.75">
      <c r="B605" s="113"/>
      <c r="C605" s="113"/>
      <c r="D605" s="113"/>
      <c r="E605" s="113"/>
      <c r="F605" s="113"/>
      <c r="G605" s="113"/>
      <c r="H605" s="113"/>
    </row>
    <row r="606" spans="2:8" ht="12.75">
      <c r="B606" s="113"/>
      <c r="C606" s="113"/>
      <c r="D606" s="113"/>
      <c r="E606" s="113"/>
      <c r="F606" s="113"/>
      <c r="G606" s="113"/>
      <c r="H606" s="113"/>
    </row>
    <row r="607" spans="2:8" ht="12.75">
      <c r="B607" s="113"/>
      <c r="C607" s="113"/>
      <c r="D607" s="113"/>
      <c r="E607" s="113"/>
      <c r="F607" s="113"/>
      <c r="G607" s="113"/>
      <c r="H607" s="113"/>
    </row>
    <row r="608" spans="2:8" ht="12.75">
      <c r="B608" s="113"/>
      <c r="C608" s="113"/>
      <c r="D608" s="113"/>
      <c r="E608" s="113"/>
      <c r="F608" s="113"/>
      <c r="G608" s="113"/>
      <c r="H608" s="113"/>
    </row>
    <row r="609" spans="2:8" ht="12.75">
      <c r="B609" s="113"/>
      <c r="C609" s="113"/>
      <c r="D609" s="113"/>
      <c r="E609" s="113"/>
      <c r="F609" s="113"/>
      <c r="G609" s="113"/>
      <c r="H609" s="113"/>
    </row>
    <row r="610" spans="2:8" ht="12.75">
      <c r="B610" s="113"/>
      <c r="C610" s="113"/>
      <c r="D610" s="113"/>
      <c r="E610" s="113"/>
      <c r="F610" s="113"/>
      <c r="G610" s="113"/>
      <c r="H610" s="113"/>
    </row>
    <row r="611" spans="2:8" ht="12.75">
      <c r="B611" s="113"/>
      <c r="C611" s="113"/>
      <c r="D611" s="113"/>
      <c r="E611" s="113"/>
      <c r="F611" s="113"/>
      <c r="G611" s="113"/>
      <c r="H611" s="113"/>
    </row>
    <row r="612" spans="2:8" ht="12.75">
      <c r="B612" s="113"/>
      <c r="C612" s="113"/>
      <c r="D612" s="113"/>
      <c r="E612" s="113"/>
      <c r="F612" s="113"/>
      <c r="G612" s="113"/>
      <c r="H612" s="113"/>
    </row>
    <row r="613" spans="2:8" ht="12.75">
      <c r="B613" s="113"/>
      <c r="C613" s="113"/>
      <c r="D613" s="113"/>
      <c r="E613" s="113"/>
      <c r="F613" s="113"/>
      <c r="G613" s="113"/>
      <c r="H613" s="113"/>
    </row>
    <row r="614" spans="2:8" ht="12.75">
      <c r="B614" s="113"/>
      <c r="C614" s="113"/>
      <c r="D614" s="113"/>
      <c r="E614" s="113"/>
      <c r="F614" s="113"/>
      <c r="G614" s="113"/>
      <c r="H614" s="113"/>
    </row>
    <row r="615" spans="2:8" ht="12.75">
      <c r="B615" s="113"/>
      <c r="C615" s="113"/>
      <c r="D615" s="113"/>
      <c r="E615" s="113"/>
      <c r="F615" s="113"/>
      <c r="G615" s="113"/>
      <c r="H615" s="113"/>
    </row>
    <row r="616" spans="2:8" ht="12.75">
      <c r="B616" s="113"/>
      <c r="C616" s="113"/>
      <c r="D616" s="113"/>
      <c r="E616" s="113"/>
      <c r="F616" s="113"/>
      <c r="G616" s="113"/>
      <c r="H616" s="113"/>
    </row>
    <row r="617" spans="2:8" ht="12.75">
      <c r="B617" s="113"/>
      <c r="C617" s="113"/>
      <c r="D617" s="113"/>
      <c r="E617" s="113"/>
      <c r="F617" s="113"/>
      <c r="G617" s="113"/>
      <c r="H617" s="113"/>
    </row>
    <row r="618" spans="2:8" ht="12.75">
      <c r="B618" s="113"/>
      <c r="C618" s="113"/>
      <c r="D618" s="113"/>
      <c r="E618" s="113"/>
      <c r="F618" s="113"/>
      <c r="G618" s="113"/>
      <c r="H618" s="113"/>
    </row>
    <row r="619" spans="2:8" ht="12.75">
      <c r="B619" s="113"/>
      <c r="C619" s="113"/>
      <c r="D619" s="113"/>
      <c r="E619" s="113"/>
      <c r="F619" s="113"/>
      <c r="G619" s="113"/>
      <c r="H619" s="113"/>
    </row>
    <row r="620" spans="2:8" ht="12.75">
      <c r="B620" s="113"/>
      <c r="C620" s="113"/>
      <c r="D620" s="113"/>
      <c r="E620" s="113"/>
      <c r="F620" s="113"/>
      <c r="G620" s="113"/>
      <c r="H620" s="113"/>
    </row>
    <row r="621" spans="2:8" ht="12.75">
      <c r="B621" s="113"/>
      <c r="C621" s="113"/>
      <c r="D621" s="113"/>
      <c r="E621" s="113"/>
      <c r="F621" s="113"/>
      <c r="G621" s="113"/>
      <c r="H621" s="113"/>
    </row>
    <row r="622" spans="2:8" ht="12.75">
      <c r="B622" s="113"/>
      <c r="C622" s="113"/>
      <c r="D622" s="113"/>
      <c r="E622" s="113"/>
      <c r="F622" s="113"/>
      <c r="G622" s="113"/>
      <c r="H622" s="113"/>
    </row>
    <row r="623" spans="2:8" ht="12.75">
      <c r="B623" s="113"/>
      <c r="C623" s="113"/>
      <c r="D623" s="113"/>
      <c r="E623" s="113"/>
      <c r="F623" s="113"/>
      <c r="G623" s="113"/>
      <c r="H623" s="113"/>
    </row>
    <row r="624" spans="2:8" ht="12.75">
      <c r="B624" s="113"/>
      <c r="C624" s="113"/>
      <c r="D624" s="113"/>
      <c r="E624" s="113"/>
      <c r="F624" s="113"/>
      <c r="G624" s="113"/>
      <c r="H624" s="113"/>
    </row>
    <row r="625" spans="2:8" ht="12.75">
      <c r="B625" s="113"/>
      <c r="C625" s="113"/>
      <c r="D625" s="113"/>
      <c r="E625" s="113"/>
      <c r="F625" s="113"/>
      <c r="G625" s="113"/>
      <c r="H625" s="113"/>
    </row>
    <row r="626" spans="2:8" ht="12.75">
      <c r="B626" s="113"/>
      <c r="C626" s="113"/>
      <c r="D626" s="113"/>
      <c r="E626" s="113"/>
      <c r="F626" s="113"/>
      <c r="G626" s="113"/>
      <c r="H626" s="113"/>
    </row>
    <row r="627" spans="2:8" ht="12.75">
      <c r="B627" s="113"/>
      <c r="C627" s="113"/>
      <c r="D627" s="113"/>
      <c r="E627" s="113"/>
      <c r="F627" s="113"/>
      <c r="G627" s="113"/>
      <c r="H627" s="113"/>
    </row>
    <row r="628" spans="2:8" ht="12.75">
      <c r="B628" s="113"/>
      <c r="C628" s="113"/>
      <c r="D628" s="113"/>
      <c r="E628" s="113"/>
      <c r="F628" s="113"/>
      <c r="G628" s="113"/>
      <c r="H628" s="113"/>
    </row>
    <row r="629" spans="2:8" ht="12.75">
      <c r="B629" s="113"/>
      <c r="C629" s="113"/>
      <c r="D629" s="113"/>
      <c r="E629" s="113"/>
      <c r="F629" s="113"/>
      <c r="G629" s="113"/>
      <c r="H629" s="113"/>
    </row>
    <row r="630" spans="2:8" ht="12.75">
      <c r="B630" s="113"/>
      <c r="C630" s="113"/>
      <c r="D630" s="113"/>
      <c r="E630" s="113"/>
      <c r="F630" s="113"/>
      <c r="G630" s="113"/>
      <c r="H630" s="113"/>
    </row>
    <row r="631" spans="2:8" ht="12.75">
      <c r="B631" s="113"/>
      <c r="C631" s="113"/>
      <c r="D631" s="113"/>
      <c r="E631" s="113"/>
      <c r="F631" s="113"/>
      <c r="G631" s="113"/>
      <c r="H631" s="113"/>
    </row>
    <row r="632" spans="2:8" ht="12.75">
      <c r="B632" s="113"/>
      <c r="C632" s="113"/>
      <c r="D632" s="113"/>
      <c r="E632" s="113"/>
      <c r="F632" s="113"/>
      <c r="G632" s="113"/>
      <c r="H632" s="113"/>
    </row>
    <row r="633" spans="2:8" ht="12.75">
      <c r="B633" s="113"/>
      <c r="C633" s="113"/>
      <c r="D633" s="113"/>
      <c r="E633" s="113"/>
      <c r="F633" s="113"/>
      <c r="G633" s="113"/>
      <c r="H633" s="113"/>
    </row>
    <row r="634" spans="2:8" ht="12.75">
      <c r="B634" s="113"/>
      <c r="C634" s="113"/>
      <c r="D634" s="113"/>
      <c r="E634" s="113"/>
      <c r="F634" s="113"/>
      <c r="G634" s="113"/>
      <c r="H634" s="113"/>
    </row>
    <row r="635" spans="2:8" ht="12.75">
      <c r="B635" s="113"/>
      <c r="C635" s="113"/>
      <c r="D635" s="113"/>
      <c r="E635" s="113"/>
      <c r="F635" s="113"/>
      <c r="G635" s="113"/>
      <c r="H635" s="113"/>
    </row>
    <row r="636" spans="2:8" ht="12.75">
      <c r="B636" s="113"/>
      <c r="C636" s="113"/>
      <c r="D636" s="113"/>
      <c r="E636" s="113"/>
      <c r="F636" s="113"/>
      <c r="G636" s="113"/>
      <c r="H636" s="113"/>
    </row>
    <row r="637" spans="2:8" ht="12.75">
      <c r="B637" s="113"/>
      <c r="C637" s="113"/>
      <c r="D637" s="113"/>
      <c r="E637" s="113"/>
      <c r="F637" s="113"/>
      <c r="G637" s="113"/>
      <c r="H637" s="113"/>
    </row>
    <row r="638" spans="2:8" ht="12.75">
      <c r="B638" s="113"/>
      <c r="C638" s="113"/>
      <c r="D638" s="113"/>
      <c r="E638" s="113"/>
      <c r="F638" s="113"/>
      <c r="G638" s="113"/>
      <c r="H638" s="113"/>
    </row>
    <row r="639" spans="2:8" ht="12.75">
      <c r="B639" s="113"/>
      <c r="C639" s="113"/>
      <c r="D639" s="113"/>
      <c r="E639" s="113"/>
      <c r="F639" s="113"/>
      <c r="G639" s="113"/>
      <c r="H639" s="113"/>
    </row>
    <row r="640" spans="2:8" ht="12.75">
      <c r="B640" s="113"/>
      <c r="C640" s="113"/>
      <c r="D640" s="113"/>
      <c r="E640" s="113"/>
      <c r="F640" s="113"/>
      <c r="G640" s="113"/>
      <c r="H640" s="113"/>
    </row>
    <row r="641" spans="2:8" ht="12.75">
      <c r="B641" s="113"/>
      <c r="C641" s="113"/>
      <c r="D641" s="113"/>
      <c r="E641" s="113"/>
      <c r="F641" s="113"/>
      <c r="G641" s="113"/>
      <c r="H641" s="113"/>
    </row>
    <row r="642" spans="2:8" ht="12.75">
      <c r="B642" s="113"/>
      <c r="C642" s="113"/>
      <c r="D642" s="113"/>
      <c r="E642" s="113"/>
      <c r="F642" s="113"/>
      <c r="G642" s="113"/>
      <c r="H642" s="113"/>
    </row>
    <row r="643" spans="2:8" ht="12.75">
      <c r="B643" s="113"/>
      <c r="C643" s="113"/>
      <c r="D643" s="113"/>
      <c r="E643" s="113"/>
      <c r="F643" s="113"/>
      <c r="G643" s="113"/>
      <c r="H643" s="113"/>
    </row>
    <row r="644" spans="2:8" ht="12.75">
      <c r="B644" s="113"/>
      <c r="C644" s="113"/>
      <c r="D644" s="113"/>
      <c r="E644" s="113"/>
      <c r="F644" s="113"/>
      <c r="G644" s="113"/>
      <c r="H644" s="113"/>
    </row>
    <row r="645" spans="2:8" ht="12.75">
      <c r="B645" s="113"/>
      <c r="C645" s="113"/>
      <c r="D645" s="113"/>
      <c r="E645" s="113"/>
      <c r="F645" s="113"/>
      <c r="G645" s="113"/>
      <c r="H645" s="113"/>
    </row>
    <row r="646" spans="2:8" ht="12.75">
      <c r="B646" s="113"/>
      <c r="C646" s="113"/>
      <c r="D646" s="113"/>
      <c r="E646" s="113"/>
      <c r="F646" s="113"/>
      <c r="G646" s="113"/>
      <c r="H646" s="113"/>
    </row>
    <row r="647" spans="2:8" ht="12.75">
      <c r="B647" s="113"/>
      <c r="C647" s="113"/>
      <c r="D647" s="113"/>
      <c r="E647" s="113"/>
      <c r="F647" s="113"/>
      <c r="G647" s="113"/>
      <c r="H647" s="113"/>
    </row>
    <row r="648" spans="2:8" ht="12.75">
      <c r="B648" s="113"/>
      <c r="C648" s="113"/>
      <c r="D648" s="113"/>
      <c r="E648" s="113"/>
      <c r="F648" s="113"/>
      <c r="G648" s="113"/>
      <c r="H648" s="113"/>
    </row>
    <row r="649" spans="2:8" ht="12.75">
      <c r="B649" s="113"/>
      <c r="C649" s="113"/>
      <c r="D649" s="113"/>
      <c r="E649" s="113"/>
      <c r="F649" s="113"/>
      <c r="G649" s="113"/>
      <c r="H649" s="113"/>
    </row>
    <row r="650" spans="2:8" ht="12.75">
      <c r="B650" s="113"/>
      <c r="C650" s="113"/>
      <c r="D650" s="113"/>
      <c r="E650" s="113"/>
      <c r="F650" s="113"/>
      <c r="G650" s="113"/>
      <c r="H650" s="113"/>
    </row>
    <row r="651" spans="2:8" ht="12.75">
      <c r="B651" s="113"/>
      <c r="C651" s="113"/>
      <c r="D651" s="113"/>
      <c r="E651" s="113"/>
      <c r="F651" s="113"/>
      <c r="G651" s="113"/>
      <c r="H651" s="113"/>
    </row>
    <row r="652" spans="2:8" ht="12.75">
      <c r="B652" s="113"/>
      <c r="C652" s="113"/>
      <c r="D652" s="113"/>
      <c r="E652" s="113"/>
      <c r="F652" s="113"/>
      <c r="G652" s="113"/>
      <c r="H652" s="113"/>
    </row>
    <row r="653" spans="2:8" ht="12.75">
      <c r="B653" s="113"/>
      <c r="C653" s="113"/>
      <c r="D653" s="113"/>
      <c r="E653" s="113"/>
      <c r="F653" s="113"/>
      <c r="G653" s="113"/>
      <c r="H653" s="113"/>
    </row>
    <row r="654" spans="2:8" ht="12.75">
      <c r="B654" s="113"/>
      <c r="C654" s="113"/>
      <c r="D654" s="113"/>
      <c r="E654" s="113"/>
      <c r="F654" s="113"/>
      <c r="G654" s="113"/>
      <c r="H654" s="113"/>
    </row>
    <row r="655" spans="2:8" ht="12.75">
      <c r="B655" s="113"/>
      <c r="C655" s="113"/>
      <c r="D655" s="113"/>
      <c r="E655" s="113"/>
      <c r="F655" s="113"/>
      <c r="G655" s="113"/>
      <c r="H655" s="113"/>
    </row>
    <row r="656" spans="2:8" ht="12.75">
      <c r="B656" s="113"/>
      <c r="C656" s="113"/>
      <c r="D656" s="113"/>
      <c r="E656" s="113"/>
      <c r="F656" s="113"/>
      <c r="G656" s="113"/>
      <c r="H656" s="113"/>
    </row>
    <row r="657" spans="2:8" ht="12.75">
      <c r="B657" s="113"/>
      <c r="C657" s="113"/>
      <c r="D657" s="113"/>
      <c r="E657" s="113"/>
      <c r="F657" s="113"/>
      <c r="G657" s="113"/>
      <c r="H657" s="113"/>
    </row>
    <row r="658" spans="2:8" ht="12.75">
      <c r="B658" s="113"/>
      <c r="C658" s="113"/>
      <c r="D658" s="113"/>
      <c r="E658" s="113"/>
      <c r="F658" s="113"/>
      <c r="G658" s="113"/>
      <c r="H658" s="113"/>
    </row>
    <row r="659" spans="2:8" ht="12.75">
      <c r="B659" s="113"/>
      <c r="C659" s="113"/>
      <c r="D659" s="113"/>
      <c r="E659" s="113"/>
      <c r="F659" s="113"/>
      <c r="G659" s="113"/>
      <c r="H659" s="113"/>
    </row>
    <row r="660" spans="2:8" ht="12.75">
      <c r="B660" s="113"/>
      <c r="C660" s="113"/>
      <c r="D660" s="113"/>
      <c r="E660" s="113"/>
      <c r="F660" s="113"/>
      <c r="G660" s="113"/>
      <c r="H660" s="113"/>
    </row>
    <row r="661" spans="2:8" ht="12.75">
      <c r="B661" s="113"/>
      <c r="C661" s="113"/>
      <c r="D661" s="113"/>
      <c r="E661" s="113"/>
      <c r="F661" s="113"/>
      <c r="G661" s="113"/>
      <c r="H661" s="113"/>
    </row>
    <row r="662" spans="2:8" ht="12.75">
      <c r="B662" s="113"/>
      <c r="C662" s="113"/>
      <c r="D662" s="113"/>
      <c r="E662" s="113"/>
      <c r="F662" s="113"/>
      <c r="G662" s="113"/>
      <c r="H662" s="113"/>
    </row>
    <row r="663" spans="2:8" ht="12.75">
      <c r="B663" s="113"/>
      <c r="C663" s="113"/>
      <c r="D663" s="113"/>
      <c r="E663" s="113"/>
      <c r="F663" s="113"/>
      <c r="G663" s="113"/>
      <c r="H663" s="113"/>
    </row>
    <row r="664" spans="2:8" ht="12.75">
      <c r="B664" s="113"/>
      <c r="C664" s="113"/>
      <c r="D664" s="113"/>
      <c r="E664" s="113"/>
      <c r="F664" s="113"/>
      <c r="G664" s="113"/>
      <c r="H664" s="113"/>
    </row>
    <row r="665" spans="2:8" ht="12.75">
      <c r="B665" s="113"/>
      <c r="C665" s="113"/>
      <c r="D665" s="113"/>
      <c r="E665" s="113"/>
      <c r="F665" s="113"/>
      <c r="G665" s="113"/>
      <c r="H665" s="113"/>
    </row>
    <row r="666" spans="2:8" ht="12.75">
      <c r="B666" s="113"/>
      <c r="C666" s="113"/>
      <c r="D666" s="113"/>
      <c r="E666" s="113"/>
      <c r="F666" s="113"/>
      <c r="G666" s="113"/>
      <c r="H666" s="113"/>
    </row>
    <row r="667" spans="2:8" ht="12.75">
      <c r="B667" s="113"/>
      <c r="C667" s="113"/>
      <c r="D667" s="113"/>
      <c r="E667" s="113"/>
      <c r="F667" s="113"/>
      <c r="G667" s="113"/>
      <c r="H667" s="113"/>
    </row>
    <row r="668" spans="2:8" ht="12.75">
      <c r="B668" s="113"/>
      <c r="C668" s="113"/>
      <c r="D668" s="113"/>
      <c r="E668" s="113"/>
      <c r="F668" s="113"/>
      <c r="G668" s="113"/>
      <c r="H668" s="113"/>
    </row>
    <row r="669" spans="2:8" ht="12.75">
      <c r="B669" s="113"/>
      <c r="C669" s="113"/>
      <c r="D669" s="113"/>
      <c r="E669" s="113"/>
      <c r="F669" s="113"/>
      <c r="G669" s="113"/>
      <c r="H669" s="113"/>
    </row>
    <row r="670" spans="2:8" ht="12.75">
      <c r="B670" s="113"/>
      <c r="C670" s="113"/>
      <c r="D670" s="113"/>
      <c r="E670" s="113"/>
      <c r="F670" s="113"/>
      <c r="G670" s="113"/>
      <c r="H670" s="113"/>
    </row>
    <row r="671" spans="2:8" ht="12.75">
      <c r="B671" s="113"/>
      <c r="C671" s="113"/>
      <c r="D671" s="113"/>
      <c r="E671" s="113"/>
      <c r="F671" s="113"/>
      <c r="G671" s="113"/>
      <c r="H671" s="113"/>
    </row>
    <row r="672" spans="2:8" ht="12.75">
      <c r="B672" s="113"/>
      <c r="C672" s="113"/>
      <c r="D672" s="113"/>
      <c r="E672" s="113"/>
      <c r="F672" s="113"/>
      <c r="G672" s="113"/>
      <c r="H672" s="113"/>
    </row>
    <row r="673" spans="2:8" ht="12.75">
      <c r="B673" s="113"/>
      <c r="C673" s="113"/>
      <c r="D673" s="113"/>
      <c r="E673" s="113"/>
      <c r="F673" s="113"/>
      <c r="G673" s="113"/>
      <c r="H673" s="113"/>
    </row>
    <row r="674" spans="2:8" ht="12.75">
      <c r="B674" s="113"/>
      <c r="C674" s="113"/>
      <c r="D674" s="113"/>
      <c r="E674" s="113"/>
      <c r="F674" s="113"/>
      <c r="G674" s="113"/>
      <c r="H674" s="113"/>
    </row>
    <row r="675" spans="2:8" ht="12.75">
      <c r="B675" s="113"/>
      <c r="C675" s="113"/>
      <c r="D675" s="113"/>
      <c r="E675" s="113"/>
      <c r="F675" s="113"/>
      <c r="G675" s="113"/>
      <c r="H675" s="113"/>
    </row>
    <row r="676" spans="2:8" ht="12.75">
      <c r="B676" s="113"/>
      <c r="C676" s="113"/>
      <c r="D676" s="113"/>
      <c r="E676" s="113"/>
      <c r="F676" s="113"/>
      <c r="G676" s="113"/>
      <c r="H676" s="113"/>
    </row>
    <row r="677" spans="2:8" ht="12.75">
      <c r="B677" s="113"/>
      <c r="C677" s="113"/>
      <c r="D677" s="113"/>
      <c r="E677" s="113"/>
      <c r="F677" s="113"/>
      <c r="G677" s="113"/>
      <c r="H677" s="113"/>
    </row>
    <row r="678" spans="2:8" ht="12.75">
      <c r="B678" s="113"/>
      <c r="C678" s="113"/>
      <c r="D678" s="113"/>
      <c r="E678" s="113"/>
      <c r="F678" s="113"/>
      <c r="G678" s="113"/>
      <c r="H678" s="113"/>
    </row>
    <row r="679" spans="2:8" ht="12.75">
      <c r="B679" s="113"/>
      <c r="C679" s="113"/>
      <c r="D679" s="113"/>
      <c r="E679" s="113"/>
      <c r="F679" s="113"/>
      <c r="G679" s="113"/>
      <c r="H679" s="113"/>
    </row>
    <row r="680" spans="2:8" ht="12.75">
      <c r="B680" s="113"/>
      <c r="C680" s="113"/>
      <c r="D680" s="113"/>
      <c r="E680" s="113"/>
      <c r="F680" s="113"/>
      <c r="G680" s="113"/>
      <c r="H680" s="113"/>
    </row>
    <row r="681" spans="2:8" ht="12.75">
      <c r="B681" s="113"/>
      <c r="C681" s="113"/>
      <c r="D681" s="113"/>
      <c r="E681" s="113"/>
      <c r="F681" s="113"/>
      <c r="G681" s="113"/>
      <c r="H681" s="113"/>
    </row>
    <row r="682" spans="2:8" ht="12.75">
      <c r="B682" s="113"/>
      <c r="C682" s="113"/>
      <c r="D682" s="113"/>
      <c r="E682" s="113"/>
      <c r="F682" s="113"/>
      <c r="G682" s="113"/>
      <c r="H682" s="113"/>
    </row>
    <row r="683" spans="2:8" ht="12.75">
      <c r="B683" s="113"/>
      <c r="C683" s="113"/>
      <c r="D683" s="113"/>
      <c r="E683" s="113"/>
      <c r="F683" s="113"/>
      <c r="G683" s="113"/>
      <c r="H683" s="113"/>
    </row>
    <row r="684" spans="2:8" ht="12.75">
      <c r="B684" s="113"/>
      <c r="C684" s="113"/>
      <c r="D684" s="113"/>
      <c r="E684" s="113"/>
      <c r="F684" s="113"/>
      <c r="G684" s="113"/>
      <c r="H684" s="113"/>
    </row>
    <row r="685" spans="2:8" ht="12.75">
      <c r="B685" s="113"/>
      <c r="C685" s="113"/>
      <c r="D685" s="113"/>
      <c r="E685" s="113"/>
      <c r="F685" s="113"/>
      <c r="G685" s="113"/>
      <c r="H685" s="113"/>
    </row>
    <row r="686" spans="2:8" ht="12.75">
      <c r="B686" s="113"/>
      <c r="C686" s="113"/>
      <c r="D686" s="113"/>
      <c r="E686" s="113"/>
      <c r="F686" s="113"/>
      <c r="G686" s="113"/>
      <c r="H686" s="113"/>
    </row>
    <row r="687" spans="2:8" ht="12.75">
      <c r="B687" s="113"/>
      <c r="C687" s="113"/>
      <c r="D687" s="113"/>
      <c r="E687" s="113"/>
      <c r="F687" s="113"/>
      <c r="G687" s="113"/>
      <c r="H687" s="113"/>
    </row>
    <row r="688" spans="2:8" ht="12.75">
      <c r="B688" s="113"/>
      <c r="C688" s="113"/>
      <c r="D688" s="113"/>
      <c r="E688" s="113"/>
      <c r="F688" s="113"/>
      <c r="G688" s="113"/>
      <c r="H688" s="113"/>
    </row>
    <row r="689" spans="2:8" ht="12.75">
      <c r="B689" s="113"/>
      <c r="C689" s="113"/>
      <c r="D689" s="113"/>
      <c r="E689" s="113"/>
      <c r="F689" s="113"/>
      <c r="G689" s="113"/>
      <c r="H689" s="113"/>
    </row>
    <row r="690" spans="2:8" ht="12.75">
      <c r="B690" s="113"/>
      <c r="C690" s="113"/>
      <c r="D690" s="113"/>
      <c r="E690" s="113"/>
      <c r="F690" s="113"/>
      <c r="G690" s="113"/>
      <c r="H690" s="113"/>
    </row>
    <row r="691" spans="2:8" ht="12.75">
      <c r="B691" s="113"/>
      <c r="C691" s="113"/>
      <c r="D691" s="113"/>
      <c r="E691" s="113"/>
      <c r="F691" s="113"/>
      <c r="G691" s="113"/>
      <c r="H691" s="113"/>
    </row>
    <row r="692" spans="2:8" ht="12.75">
      <c r="B692" s="113"/>
      <c r="C692" s="113"/>
      <c r="D692" s="113"/>
      <c r="E692" s="113"/>
      <c r="F692" s="113"/>
      <c r="G692" s="113"/>
      <c r="H692" s="113"/>
    </row>
    <row r="693" spans="2:8" ht="12.75">
      <c r="B693" s="113"/>
      <c r="C693" s="113"/>
      <c r="D693" s="113"/>
      <c r="E693" s="113"/>
      <c r="F693" s="113"/>
      <c r="G693" s="113"/>
      <c r="H693" s="113"/>
    </row>
    <row r="694" spans="2:8" ht="12.75">
      <c r="B694" s="113"/>
      <c r="C694" s="113"/>
      <c r="D694" s="113"/>
      <c r="E694" s="113"/>
      <c r="F694" s="113"/>
      <c r="G694" s="113"/>
      <c r="H694" s="113"/>
    </row>
    <row r="695" spans="2:8" ht="12.75">
      <c r="B695" s="113"/>
      <c r="C695" s="113"/>
      <c r="D695" s="113"/>
      <c r="E695" s="113"/>
      <c r="F695" s="113"/>
      <c r="G695" s="113"/>
      <c r="H695" s="113"/>
    </row>
    <row r="696" spans="2:8" ht="12.75">
      <c r="B696" s="113"/>
      <c r="C696" s="113"/>
      <c r="D696" s="113"/>
      <c r="E696" s="113"/>
      <c r="F696" s="113"/>
      <c r="G696" s="113"/>
      <c r="H696" s="113"/>
    </row>
    <row r="697" spans="2:8" ht="12.75">
      <c r="B697" s="113"/>
      <c r="C697" s="113"/>
      <c r="D697" s="113"/>
      <c r="E697" s="113"/>
      <c r="F697" s="113"/>
      <c r="G697" s="113"/>
      <c r="H697" s="113"/>
    </row>
    <row r="698" spans="2:8" ht="12.75">
      <c r="B698" s="113"/>
      <c r="C698" s="113"/>
      <c r="D698" s="113"/>
      <c r="E698" s="113"/>
      <c r="F698" s="113"/>
      <c r="G698" s="113"/>
      <c r="H698" s="113"/>
    </row>
    <row r="699" spans="2:8" ht="12.75">
      <c r="B699" s="113"/>
      <c r="C699" s="113"/>
      <c r="D699" s="113"/>
      <c r="E699" s="113"/>
      <c r="F699" s="113"/>
      <c r="G699" s="113"/>
      <c r="H699" s="113"/>
    </row>
    <row r="700" spans="2:8" ht="12.75">
      <c r="B700" s="113"/>
      <c r="C700" s="113"/>
      <c r="D700" s="113"/>
      <c r="E700" s="113"/>
      <c r="F700" s="113"/>
      <c r="G700" s="113"/>
      <c r="H700" s="113"/>
    </row>
    <row r="701" spans="2:8" ht="12.75">
      <c r="B701" s="113"/>
      <c r="C701" s="113"/>
      <c r="D701" s="113"/>
      <c r="E701" s="113"/>
      <c r="F701" s="113"/>
      <c r="G701" s="113"/>
      <c r="H701" s="113"/>
    </row>
    <row r="702" spans="2:8" ht="12.75">
      <c r="B702" s="113"/>
      <c r="C702" s="113"/>
      <c r="D702" s="113"/>
      <c r="E702" s="113"/>
      <c r="F702" s="113"/>
      <c r="G702" s="113"/>
      <c r="H702" s="113"/>
    </row>
    <row r="703" spans="2:8" ht="12.75">
      <c r="B703" s="113"/>
      <c r="C703" s="113"/>
      <c r="D703" s="113"/>
      <c r="E703" s="113"/>
      <c r="F703" s="113"/>
      <c r="G703" s="113"/>
      <c r="H703" s="113"/>
    </row>
    <row r="704" spans="2:8" ht="12.75">
      <c r="B704" s="113"/>
      <c r="C704" s="113"/>
      <c r="D704" s="113"/>
      <c r="E704" s="113"/>
      <c r="F704" s="113"/>
      <c r="G704" s="113"/>
      <c r="H704" s="113"/>
    </row>
    <row r="705" spans="2:8" ht="12.75">
      <c r="B705" s="113"/>
      <c r="C705" s="113"/>
      <c r="D705" s="113"/>
      <c r="E705" s="113"/>
      <c r="F705" s="113"/>
      <c r="G705" s="113"/>
      <c r="H705" s="113"/>
    </row>
    <row r="706" spans="2:8" ht="12.75">
      <c r="B706" s="113"/>
      <c r="C706" s="113"/>
      <c r="D706" s="113"/>
      <c r="E706" s="113"/>
      <c r="F706" s="113"/>
      <c r="G706" s="113"/>
      <c r="H706" s="113"/>
    </row>
    <row r="707" spans="2:8" ht="12.75">
      <c r="B707" s="113"/>
      <c r="C707" s="113"/>
      <c r="D707" s="113"/>
      <c r="E707" s="113"/>
      <c r="F707" s="113"/>
      <c r="G707" s="113"/>
      <c r="H707" s="113"/>
    </row>
    <row r="708" spans="2:8" ht="12.75">
      <c r="B708" s="113"/>
      <c r="C708" s="113"/>
      <c r="D708" s="113"/>
      <c r="E708" s="113"/>
      <c r="F708" s="113"/>
      <c r="G708" s="113"/>
      <c r="H708" s="113"/>
    </row>
    <row r="709" spans="2:8" ht="12.75">
      <c r="B709" s="113"/>
      <c r="C709" s="113"/>
      <c r="D709" s="113"/>
      <c r="E709" s="113"/>
      <c r="F709" s="113"/>
      <c r="G709" s="113"/>
      <c r="H709" s="113"/>
    </row>
    <row r="710" spans="2:8" ht="12.75">
      <c r="B710" s="113"/>
      <c r="C710" s="113"/>
      <c r="D710" s="113"/>
      <c r="E710" s="113"/>
      <c r="F710" s="113"/>
      <c r="G710" s="113"/>
      <c r="H710" s="113"/>
    </row>
    <row r="711" spans="2:8" ht="12.75">
      <c r="B711" s="113"/>
      <c r="C711" s="113"/>
      <c r="D711" s="113"/>
      <c r="E711" s="113"/>
      <c r="F711" s="113"/>
      <c r="G711" s="113"/>
      <c r="H711" s="113"/>
    </row>
    <row r="712" spans="2:8" ht="12.75">
      <c r="B712" s="113"/>
      <c r="C712" s="113"/>
      <c r="D712" s="113"/>
      <c r="E712" s="113"/>
      <c r="F712" s="113"/>
      <c r="G712" s="113"/>
      <c r="H712" s="113"/>
    </row>
    <row r="713" spans="2:8" ht="12.75">
      <c r="B713" s="113"/>
      <c r="C713" s="113"/>
      <c r="D713" s="113"/>
      <c r="E713" s="113"/>
      <c r="F713" s="113"/>
      <c r="G713" s="113"/>
      <c r="H713" s="113"/>
    </row>
    <row r="714" spans="2:8" ht="12.75">
      <c r="B714" s="113"/>
      <c r="C714" s="113"/>
      <c r="D714" s="113"/>
      <c r="E714" s="113"/>
      <c r="F714" s="113"/>
      <c r="G714" s="113"/>
      <c r="H714" s="113"/>
    </row>
    <row r="715" spans="2:8" ht="12.75">
      <c r="B715" s="113"/>
      <c r="C715" s="113"/>
      <c r="D715" s="113"/>
      <c r="E715" s="113"/>
      <c r="F715" s="113"/>
      <c r="G715" s="113"/>
      <c r="H715" s="113"/>
    </row>
    <row r="716" spans="2:8" ht="12.75">
      <c r="B716" s="113"/>
      <c r="C716" s="113"/>
      <c r="D716" s="113"/>
      <c r="E716" s="113"/>
      <c r="F716" s="113"/>
      <c r="G716" s="113"/>
      <c r="H716" s="113"/>
    </row>
    <row r="717" spans="2:8" ht="12.75">
      <c r="B717" s="113"/>
      <c r="C717" s="113"/>
      <c r="D717" s="113"/>
      <c r="E717" s="113"/>
      <c r="F717" s="113"/>
      <c r="G717" s="113"/>
      <c r="H717" s="113"/>
    </row>
    <row r="718" spans="2:8" ht="12.75">
      <c r="B718" s="113"/>
      <c r="C718" s="113"/>
      <c r="D718" s="113"/>
      <c r="E718" s="113"/>
      <c r="F718" s="113"/>
      <c r="G718" s="113"/>
      <c r="H718" s="113"/>
    </row>
    <row r="719" spans="2:8" ht="12.75">
      <c r="B719" s="113"/>
      <c r="C719" s="113"/>
      <c r="D719" s="113"/>
      <c r="E719" s="113"/>
      <c r="F719" s="113"/>
      <c r="G719" s="113"/>
      <c r="H719" s="113"/>
    </row>
    <row r="720" spans="2:8" ht="12.75">
      <c r="B720" s="113"/>
      <c r="C720" s="113"/>
      <c r="D720" s="113"/>
      <c r="E720" s="113"/>
      <c r="F720" s="113"/>
      <c r="G720" s="113"/>
      <c r="H720" s="113"/>
    </row>
    <row r="721" spans="2:8" ht="12.75">
      <c r="B721" s="113"/>
      <c r="C721" s="113"/>
      <c r="D721" s="113"/>
      <c r="E721" s="113"/>
      <c r="F721" s="113"/>
      <c r="G721" s="113"/>
      <c r="H721" s="113"/>
    </row>
    <row r="722" spans="2:8" ht="12.75">
      <c r="B722" s="113"/>
      <c r="C722" s="113"/>
      <c r="D722" s="113"/>
      <c r="E722" s="113"/>
      <c r="F722" s="113"/>
      <c r="G722" s="113"/>
      <c r="H722" s="113"/>
    </row>
    <row r="723" spans="2:8" ht="12.75">
      <c r="B723" s="113"/>
      <c r="C723" s="113"/>
      <c r="D723" s="113"/>
      <c r="E723" s="113"/>
      <c r="F723" s="113"/>
      <c r="G723" s="113"/>
      <c r="H723" s="113"/>
    </row>
    <row r="724" spans="2:8" ht="12.75">
      <c r="B724" s="113"/>
      <c r="C724" s="113"/>
      <c r="D724" s="113"/>
      <c r="E724" s="113"/>
      <c r="F724" s="113"/>
      <c r="G724" s="113"/>
      <c r="H724" s="113"/>
    </row>
    <row r="725" spans="2:8" ht="12.75">
      <c r="B725" s="113"/>
      <c r="C725" s="113"/>
      <c r="D725" s="113"/>
      <c r="E725" s="113"/>
      <c r="F725" s="113"/>
      <c r="G725" s="113"/>
      <c r="H725" s="113"/>
    </row>
    <row r="726" spans="2:8" ht="12.75">
      <c r="B726" s="113"/>
      <c r="C726" s="113"/>
      <c r="D726" s="113"/>
      <c r="E726" s="113"/>
      <c r="F726" s="113"/>
      <c r="G726" s="113"/>
      <c r="H726" s="113"/>
    </row>
    <row r="727" spans="2:8" ht="12.75">
      <c r="B727" s="113"/>
      <c r="C727" s="113"/>
      <c r="D727" s="113"/>
      <c r="E727" s="113"/>
      <c r="F727" s="113"/>
      <c r="G727" s="113"/>
      <c r="H727" s="113"/>
    </row>
    <row r="728" spans="2:8" ht="12.75">
      <c r="B728" s="113"/>
      <c r="C728" s="113"/>
      <c r="D728" s="113"/>
      <c r="E728" s="113"/>
      <c r="F728" s="113"/>
      <c r="G728" s="113"/>
      <c r="H728" s="113"/>
    </row>
    <row r="729" spans="2:8" ht="12.75">
      <c r="B729" s="113"/>
      <c r="C729" s="113"/>
      <c r="D729" s="113"/>
      <c r="E729" s="113"/>
      <c r="F729" s="113"/>
      <c r="G729" s="113"/>
      <c r="H729" s="113"/>
    </row>
    <row r="730" spans="2:8" ht="12.75">
      <c r="B730" s="113"/>
      <c r="C730" s="113"/>
      <c r="D730" s="113"/>
      <c r="E730" s="113"/>
      <c r="F730" s="113"/>
      <c r="G730" s="113"/>
      <c r="H730" s="113"/>
    </row>
    <row r="731" spans="2:8" ht="12.75">
      <c r="B731" s="113"/>
      <c r="C731" s="113"/>
      <c r="D731" s="113"/>
      <c r="E731" s="113"/>
      <c r="F731" s="113"/>
      <c r="G731" s="113"/>
      <c r="H731" s="113"/>
    </row>
    <row r="732" spans="2:8" ht="12.75">
      <c r="B732" s="113"/>
      <c r="C732" s="113"/>
      <c r="D732" s="113"/>
      <c r="E732" s="113"/>
      <c r="F732" s="113"/>
      <c r="G732" s="113"/>
      <c r="H732" s="113"/>
    </row>
    <row r="733" spans="2:8" ht="12.75">
      <c r="B733" s="113"/>
      <c r="C733" s="113"/>
      <c r="D733" s="113"/>
      <c r="E733" s="113"/>
      <c r="F733" s="113"/>
      <c r="G733" s="113"/>
      <c r="H733" s="113"/>
    </row>
    <row r="734" spans="2:8" ht="12.75">
      <c r="B734" s="113"/>
      <c r="C734" s="113"/>
      <c r="D734" s="113"/>
      <c r="E734" s="113"/>
      <c r="F734" s="113"/>
      <c r="G734" s="113"/>
      <c r="H734" s="113"/>
    </row>
    <row r="735" spans="2:8" ht="12.75">
      <c r="B735" s="113"/>
      <c r="C735" s="113"/>
      <c r="D735" s="113"/>
      <c r="E735" s="113"/>
      <c r="F735" s="113"/>
      <c r="G735" s="113"/>
      <c r="H735" s="113"/>
    </row>
    <row r="736" spans="2:8" ht="12.75">
      <c r="B736" s="113"/>
      <c r="C736" s="113"/>
      <c r="D736" s="113"/>
      <c r="E736" s="113"/>
      <c r="F736" s="113"/>
      <c r="G736" s="113"/>
      <c r="H736" s="113"/>
    </row>
    <row r="737" spans="2:8" ht="12.75">
      <c r="B737" s="113"/>
      <c r="C737" s="113"/>
      <c r="D737" s="113"/>
      <c r="E737" s="113"/>
      <c r="F737" s="113"/>
      <c r="G737" s="113"/>
      <c r="H737" s="113"/>
    </row>
    <row r="738" spans="2:8" ht="12.75">
      <c r="B738" s="113"/>
      <c r="C738" s="113"/>
      <c r="D738" s="113"/>
      <c r="E738" s="113"/>
      <c r="F738" s="113"/>
      <c r="G738" s="113"/>
      <c r="H738" s="113"/>
    </row>
    <row r="739" spans="2:8" ht="12.75">
      <c r="B739" s="113"/>
      <c r="C739" s="113"/>
      <c r="D739" s="113"/>
      <c r="E739" s="113"/>
      <c r="F739" s="113"/>
      <c r="G739" s="113"/>
      <c r="H739" s="113"/>
    </row>
    <row r="740" spans="2:8" ht="12.75">
      <c r="B740" s="113"/>
      <c r="C740" s="113"/>
      <c r="D740" s="113"/>
      <c r="E740" s="113"/>
      <c r="F740" s="113"/>
      <c r="G740" s="113"/>
      <c r="H740" s="113"/>
    </row>
    <row r="741" spans="2:8" ht="12.75">
      <c r="B741" s="113"/>
      <c r="C741" s="113"/>
      <c r="D741" s="113"/>
      <c r="E741" s="113"/>
      <c r="F741" s="113"/>
      <c r="G741" s="113"/>
      <c r="H741" s="113"/>
    </row>
    <row r="742" spans="2:8" ht="12.75">
      <c r="B742" s="113"/>
      <c r="C742" s="113"/>
      <c r="D742" s="113"/>
      <c r="E742" s="113"/>
      <c r="F742" s="113"/>
      <c r="G742" s="113"/>
      <c r="H742" s="113"/>
    </row>
    <row r="743" spans="2:8" ht="12.75">
      <c r="B743" s="113"/>
      <c r="C743" s="113"/>
      <c r="D743" s="113"/>
      <c r="E743" s="113"/>
      <c r="F743" s="113"/>
      <c r="G743" s="113"/>
      <c r="H743" s="113"/>
    </row>
    <row r="744" spans="2:8" ht="12.75">
      <c r="B744" s="113"/>
      <c r="C744" s="113"/>
      <c r="D744" s="113"/>
      <c r="E744" s="113"/>
      <c r="F744" s="113"/>
      <c r="G744" s="113"/>
      <c r="H744" s="113"/>
    </row>
    <row r="745" spans="2:8" ht="12.75">
      <c r="B745" s="113"/>
      <c r="C745" s="113"/>
      <c r="D745" s="113"/>
      <c r="E745" s="113"/>
      <c r="F745" s="113"/>
      <c r="G745" s="113"/>
      <c r="H745" s="113"/>
    </row>
    <row r="746" spans="2:8" ht="12.75">
      <c r="B746" s="113"/>
      <c r="C746" s="113"/>
      <c r="D746" s="113"/>
      <c r="E746" s="113"/>
      <c r="F746" s="113"/>
      <c r="G746" s="113"/>
      <c r="H746" s="113"/>
    </row>
    <row r="747" spans="2:8" ht="12.75">
      <c r="B747" s="113"/>
      <c r="C747" s="113"/>
      <c r="D747" s="113"/>
      <c r="E747" s="113"/>
      <c r="F747" s="113"/>
      <c r="G747" s="113"/>
      <c r="H747" s="113"/>
    </row>
    <row r="748" spans="2:8" ht="12.75">
      <c r="B748" s="113"/>
      <c r="C748" s="113"/>
      <c r="D748" s="113"/>
      <c r="E748" s="113"/>
      <c r="F748" s="113"/>
      <c r="G748" s="113"/>
      <c r="H748" s="113"/>
    </row>
    <row r="749" spans="2:8" ht="12.75">
      <c r="B749" s="113"/>
      <c r="C749" s="113"/>
      <c r="D749" s="113"/>
      <c r="E749" s="113"/>
      <c r="F749" s="113"/>
      <c r="G749" s="113"/>
      <c r="H749" s="113"/>
    </row>
    <row r="750" spans="2:8" ht="12.75">
      <c r="B750" s="113"/>
      <c r="C750" s="113"/>
      <c r="D750" s="113"/>
      <c r="E750" s="113"/>
      <c r="F750" s="113"/>
      <c r="G750" s="113"/>
      <c r="H750" s="113"/>
    </row>
    <row r="751" spans="2:8" ht="12.75">
      <c r="B751" s="113"/>
      <c r="C751" s="113"/>
      <c r="D751" s="113"/>
      <c r="E751" s="113"/>
      <c r="F751" s="113"/>
      <c r="G751" s="113"/>
      <c r="H751" s="113"/>
    </row>
    <row r="752" spans="2:8" ht="12.75">
      <c r="B752" s="113"/>
      <c r="C752" s="113"/>
      <c r="D752" s="113"/>
      <c r="E752" s="113"/>
      <c r="F752" s="113"/>
      <c r="G752" s="113"/>
      <c r="H752" s="113"/>
    </row>
    <row r="753" spans="2:8" ht="12.75">
      <c r="B753" s="113"/>
      <c r="C753" s="113"/>
      <c r="D753" s="113"/>
      <c r="E753" s="113"/>
      <c r="F753" s="113"/>
      <c r="G753" s="113"/>
      <c r="H753" s="113"/>
    </row>
    <row r="754" spans="2:8" ht="12.75">
      <c r="B754" s="113"/>
      <c r="C754" s="113"/>
      <c r="D754" s="113"/>
      <c r="E754" s="113"/>
      <c r="F754" s="113"/>
      <c r="G754" s="113"/>
      <c r="H754" s="113"/>
    </row>
    <row r="755" spans="2:8" ht="12.75">
      <c r="B755" s="113"/>
      <c r="C755" s="113"/>
      <c r="D755" s="113"/>
      <c r="E755" s="113"/>
      <c r="F755" s="113"/>
      <c r="G755" s="113"/>
      <c r="H755" s="113"/>
    </row>
    <row r="756" spans="2:8" ht="12.75">
      <c r="B756" s="113"/>
      <c r="C756" s="113"/>
      <c r="D756" s="113"/>
      <c r="E756" s="113"/>
      <c r="F756" s="113"/>
      <c r="G756" s="113"/>
      <c r="H756" s="113"/>
    </row>
    <row r="757" spans="2:8" ht="12.75">
      <c r="B757" s="113"/>
      <c r="C757" s="113"/>
      <c r="D757" s="113"/>
      <c r="E757" s="113"/>
      <c r="F757" s="113"/>
      <c r="G757" s="113"/>
      <c r="H757" s="113"/>
    </row>
    <row r="758" spans="2:8" ht="12.75">
      <c r="B758" s="113"/>
      <c r="C758" s="113"/>
      <c r="D758" s="113"/>
      <c r="E758" s="113"/>
      <c r="F758" s="113"/>
      <c r="G758" s="113"/>
      <c r="H758" s="113"/>
    </row>
    <row r="759" spans="2:8" ht="12.75">
      <c r="B759" s="113"/>
      <c r="C759" s="113"/>
      <c r="D759" s="113"/>
      <c r="E759" s="113"/>
      <c r="F759" s="113"/>
      <c r="G759" s="113"/>
      <c r="H759" s="113"/>
    </row>
    <row r="760" spans="2:8" ht="12.75">
      <c r="B760" s="113"/>
      <c r="C760" s="113"/>
      <c r="D760" s="113"/>
      <c r="E760" s="113"/>
      <c r="F760" s="113"/>
      <c r="G760" s="113"/>
      <c r="H760" s="113"/>
    </row>
    <row r="761" spans="2:8" ht="12.75">
      <c r="B761" s="113"/>
      <c r="C761" s="113"/>
      <c r="D761" s="113"/>
      <c r="E761" s="113"/>
      <c r="F761" s="113"/>
      <c r="G761" s="113"/>
      <c r="H761" s="113"/>
    </row>
    <row r="762" spans="2:8" ht="12.75">
      <c r="B762" s="113"/>
      <c r="C762" s="113"/>
      <c r="D762" s="113"/>
      <c r="E762" s="113"/>
      <c r="F762" s="113"/>
      <c r="G762" s="113"/>
      <c r="H762" s="113"/>
    </row>
    <row r="763" spans="2:8" ht="12.75">
      <c r="B763" s="113"/>
      <c r="C763" s="113"/>
      <c r="D763" s="113"/>
      <c r="E763" s="113"/>
      <c r="F763" s="113"/>
      <c r="G763" s="113"/>
      <c r="H763" s="113"/>
    </row>
    <row r="764" spans="2:8" ht="12.75">
      <c r="B764" s="113"/>
      <c r="C764" s="113"/>
      <c r="D764" s="113"/>
      <c r="E764" s="113"/>
      <c r="F764" s="113"/>
      <c r="G764" s="113"/>
      <c r="H764" s="113"/>
    </row>
    <row r="765" spans="2:8" ht="12.75">
      <c r="B765" s="113"/>
      <c r="C765" s="113"/>
      <c r="D765" s="113"/>
      <c r="E765" s="113"/>
      <c r="F765" s="113"/>
      <c r="G765" s="113"/>
      <c r="H765" s="113"/>
    </row>
    <row r="766" spans="2:8" ht="12.75">
      <c r="B766" s="113"/>
      <c r="C766" s="113"/>
      <c r="D766" s="113"/>
      <c r="E766" s="113"/>
      <c r="F766" s="113"/>
      <c r="G766" s="113"/>
      <c r="H766" s="113"/>
    </row>
    <row r="767" spans="2:8" ht="12.75">
      <c r="B767" s="113"/>
      <c r="C767" s="113"/>
      <c r="D767" s="113"/>
      <c r="E767" s="113"/>
      <c r="F767" s="113"/>
      <c r="G767" s="113"/>
      <c r="H767" s="113"/>
    </row>
    <row r="768" spans="2:8" ht="12.75">
      <c r="B768" s="113"/>
      <c r="C768" s="113"/>
      <c r="D768" s="113"/>
      <c r="E768" s="113"/>
      <c r="F768" s="113"/>
      <c r="G768" s="113"/>
      <c r="H768" s="113"/>
    </row>
    <row r="769" spans="2:8" ht="12.75">
      <c r="B769" s="113"/>
      <c r="C769" s="113"/>
      <c r="D769" s="113"/>
      <c r="E769" s="113"/>
      <c r="F769" s="113"/>
      <c r="G769" s="113"/>
      <c r="H769" s="113"/>
    </row>
    <row r="770" spans="2:8" ht="12.75">
      <c r="B770" s="113"/>
      <c r="C770" s="113"/>
      <c r="D770" s="113"/>
      <c r="E770" s="113"/>
      <c r="F770" s="113"/>
      <c r="G770" s="113"/>
      <c r="H770" s="113"/>
    </row>
    <row r="771" spans="2:8" ht="12.75">
      <c r="B771" s="113"/>
      <c r="C771" s="113"/>
      <c r="D771" s="113"/>
      <c r="E771" s="113"/>
      <c r="F771" s="113"/>
      <c r="G771" s="113"/>
      <c r="H771" s="113"/>
    </row>
    <row r="772" spans="2:8" ht="12.75">
      <c r="B772" s="113"/>
      <c r="C772" s="113"/>
      <c r="D772" s="113"/>
      <c r="E772" s="113"/>
      <c r="F772" s="113"/>
      <c r="G772" s="113"/>
      <c r="H772" s="113"/>
    </row>
    <row r="773" spans="2:8" ht="12.75">
      <c r="B773" s="113"/>
      <c r="C773" s="113"/>
      <c r="D773" s="113"/>
      <c r="E773" s="113"/>
      <c r="F773" s="113"/>
      <c r="G773" s="113"/>
      <c r="H773" s="113"/>
    </row>
    <row r="774" spans="2:8" ht="12.75">
      <c r="B774" s="113"/>
      <c r="C774" s="113"/>
      <c r="D774" s="113"/>
      <c r="E774" s="113"/>
      <c r="F774" s="113"/>
      <c r="G774" s="113"/>
      <c r="H774" s="113"/>
    </row>
    <row r="775" spans="2:8" ht="12.75">
      <c r="B775" s="113"/>
      <c r="C775" s="113"/>
      <c r="D775" s="113"/>
      <c r="E775" s="113"/>
      <c r="F775" s="113"/>
      <c r="G775" s="113"/>
      <c r="H775" s="113"/>
    </row>
    <row r="776" spans="2:8" ht="12.75">
      <c r="B776" s="113"/>
      <c r="C776" s="113"/>
      <c r="D776" s="113"/>
      <c r="E776" s="113"/>
      <c r="F776" s="113"/>
      <c r="G776" s="113"/>
      <c r="H776" s="113"/>
    </row>
    <row r="777" spans="2:8" ht="12.75">
      <c r="B777" s="113"/>
      <c r="C777" s="113"/>
      <c r="D777" s="113"/>
      <c r="E777" s="113"/>
      <c r="F777" s="113"/>
      <c r="G777" s="113"/>
      <c r="H777" s="113"/>
    </row>
    <row r="778" spans="2:8" ht="12.75">
      <c r="B778" s="113"/>
      <c r="C778" s="113"/>
      <c r="D778" s="113"/>
      <c r="E778" s="113"/>
      <c r="F778" s="113"/>
      <c r="G778" s="113"/>
      <c r="H778" s="113"/>
    </row>
    <row r="779" spans="2:8" ht="12.75">
      <c r="B779" s="113"/>
      <c r="C779" s="113"/>
      <c r="D779" s="113"/>
      <c r="E779" s="113"/>
      <c r="F779" s="113"/>
      <c r="G779" s="113"/>
      <c r="H779" s="113"/>
    </row>
    <row r="780" spans="2:8" ht="12.75">
      <c r="B780" s="113"/>
      <c r="C780" s="113"/>
      <c r="D780" s="113"/>
      <c r="E780" s="113"/>
      <c r="F780" s="113"/>
      <c r="G780" s="113"/>
      <c r="H780" s="113"/>
    </row>
    <row r="781" spans="2:8" ht="12.75">
      <c r="B781" s="113"/>
      <c r="C781" s="113"/>
      <c r="D781" s="113"/>
      <c r="E781" s="113"/>
      <c r="F781" s="113"/>
      <c r="G781" s="113"/>
      <c r="H781" s="113"/>
    </row>
    <row r="782" spans="2:8" ht="12.75">
      <c r="B782" s="113"/>
      <c r="C782" s="113"/>
      <c r="D782" s="113"/>
      <c r="E782" s="113"/>
      <c r="F782" s="113"/>
      <c r="G782" s="113"/>
      <c r="H782" s="113"/>
    </row>
    <row r="783" spans="2:8" ht="12.75">
      <c r="B783" s="113"/>
      <c r="C783" s="113"/>
      <c r="D783" s="113"/>
      <c r="E783" s="113"/>
      <c r="F783" s="113"/>
      <c r="G783" s="113"/>
      <c r="H783" s="113"/>
    </row>
    <row r="784" spans="2:8" ht="12.75">
      <c r="B784" s="113"/>
      <c r="C784" s="113"/>
      <c r="D784" s="113"/>
      <c r="E784" s="113"/>
      <c r="F784" s="113"/>
      <c r="G784" s="113"/>
      <c r="H784" s="113"/>
    </row>
    <row r="785" spans="2:8" ht="12.75">
      <c r="B785" s="113"/>
      <c r="C785" s="113"/>
      <c r="D785" s="113"/>
      <c r="E785" s="113"/>
      <c r="F785" s="113"/>
      <c r="G785" s="113"/>
      <c r="H785" s="113"/>
    </row>
    <row r="786" spans="2:8" ht="12.75">
      <c r="B786" s="113"/>
      <c r="C786" s="113"/>
      <c r="D786" s="113"/>
      <c r="E786" s="113"/>
      <c r="F786" s="113"/>
      <c r="G786" s="113"/>
      <c r="H786" s="113"/>
    </row>
    <row r="787" spans="2:8" ht="12.75">
      <c r="B787" s="113"/>
      <c r="C787" s="113"/>
      <c r="D787" s="113"/>
      <c r="E787" s="113"/>
      <c r="F787" s="113"/>
      <c r="G787" s="113"/>
      <c r="H787" s="113"/>
    </row>
    <row r="788" spans="2:8" ht="12.75">
      <c r="B788" s="113"/>
      <c r="C788" s="113"/>
      <c r="D788" s="113"/>
      <c r="E788" s="113"/>
      <c r="F788" s="113"/>
      <c r="G788" s="113"/>
      <c r="H788" s="113"/>
    </row>
    <row r="789" spans="2:8" ht="12.75">
      <c r="B789" s="113"/>
      <c r="C789" s="113"/>
      <c r="D789" s="113"/>
      <c r="E789" s="113"/>
      <c r="F789" s="113"/>
      <c r="G789" s="113"/>
      <c r="H789" s="113"/>
    </row>
    <row r="790" spans="2:8" ht="12.75">
      <c r="B790" s="113"/>
      <c r="C790" s="113"/>
      <c r="D790" s="113"/>
      <c r="E790" s="113"/>
      <c r="F790" s="113"/>
      <c r="G790" s="113"/>
      <c r="H790" s="113"/>
    </row>
    <row r="791" spans="2:8" ht="12.75">
      <c r="B791" s="113"/>
      <c r="C791" s="113"/>
      <c r="D791" s="113"/>
      <c r="E791" s="113"/>
      <c r="F791" s="113"/>
      <c r="G791" s="113"/>
      <c r="H791" s="113"/>
    </row>
    <row r="792" spans="2:8" ht="12.75">
      <c r="B792" s="113"/>
      <c r="C792" s="113"/>
      <c r="D792" s="113"/>
      <c r="E792" s="113"/>
      <c r="F792" s="113"/>
      <c r="G792" s="113"/>
      <c r="H792" s="113"/>
    </row>
    <row r="793" spans="2:8" ht="12.75">
      <c r="B793" s="113"/>
      <c r="C793" s="113"/>
      <c r="D793" s="113"/>
      <c r="E793" s="113"/>
      <c r="F793" s="113"/>
      <c r="G793" s="113"/>
      <c r="H793" s="113"/>
    </row>
    <row r="794" spans="2:8" ht="12.75">
      <c r="B794" s="113"/>
      <c r="C794" s="113"/>
      <c r="D794" s="113"/>
      <c r="E794" s="113"/>
      <c r="F794" s="113"/>
      <c r="G794" s="113"/>
      <c r="H794" s="113"/>
    </row>
    <row r="795" spans="2:8" ht="12.75">
      <c r="B795" s="113"/>
      <c r="C795" s="113"/>
      <c r="D795" s="113"/>
      <c r="E795" s="113"/>
      <c r="F795" s="113"/>
      <c r="G795" s="113"/>
      <c r="H795" s="113"/>
    </row>
    <row r="796" spans="2:8" ht="12.75">
      <c r="B796" s="113"/>
      <c r="C796" s="113"/>
      <c r="D796" s="113"/>
      <c r="E796" s="113"/>
      <c r="F796" s="113"/>
      <c r="G796" s="113"/>
      <c r="H796" s="113"/>
    </row>
    <row r="797" spans="2:8" ht="12.75">
      <c r="B797" s="113"/>
      <c r="C797" s="113"/>
      <c r="D797" s="113"/>
      <c r="E797" s="113"/>
      <c r="F797" s="113"/>
      <c r="G797" s="113"/>
      <c r="H797" s="113"/>
    </row>
    <row r="798" spans="2:8" ht="12.75">
      <c r="B798" s="113"/>
      <c r="C798" s="113"/>
      <c r="D798" s="113"/>
      <c r="E798" s="113"/>
      <c r="F798" s="113"/>
      <c r="G798" s="113"/>
      <c r="H798" s="113"/>
    </row>
    <row r="799" spans="2:8" ht="12.75">
      <c r="B799" s="113"/>
      <c r="C799" s="113"/>
      <c r="D799" s="113"/>
      <c r="E799" s="113"/>
      <c r="F799" s="113"/>
      <c r="G799" s="113"/>
      <c r="H799" s="113"/>
    </row>
    <row r="800" spans="2:8" ht="12.75">
      <c r="B800" s="113"/>
      <c r="C800" s="113"/>
      <c r="D800" s="113"/>
      <c r="E800" s="113"/>
      <c r="F800" s="113"/>
      <c r="G800" s="113"/>
      <c r="H800" s="113"/>
    </row>
    <row r="801" spans="2:8" ht="12.75">
      <c r="B801" s="113"/>
      <c r="C801" s="113"/>
      <c r="D801" s="113"/>
      <c r="E801" s="113"/>
      <c r="F801" s="113"/>
      <c r="G801" s="113"/>
      <c r="H801" s="113"/>
    </row>
    <row r="802" spans="2:8" ht="12.75">
      <c r="B802" s="113"/>
      <c r="C802" s="113"/>
      <c r="D802" s="113"/>
      <c r="E802" s="113"/>
      <c r="F802" s="113"/>
      <c r="G802" s="113"/>
      <c r="H802" s="113"/>
    </row>
    <row r="803" spans="2:8" ht="12.75">
      <c r="B803" s="113"/>
      <c r="C803" s="113"/>
      <c r="D803" s="113"/>
      <c r="E803" s="113"/>
      <c r="F803" s="113"/>
      <c r="G803" s="113"/>
      <c r="H803" s="113"/>
    </row>
    <row r="804" spans="2:8" ht="12.75">
      <c r="B804" s="113"/>
      <c r="C804" s="113"/>
      <c r="D804" s="113"/>
      <c r="E804" s="113"/>
      <c r="F804" s="113"/>
      <c r="G804" s="113"/>
      <c r="H804" s="113"/>
    </row>
    <row r="805" spans="2:8" ht="12.75">
      <c r="B805" s="113"/>
      <c r="C805" s="113"/>
      <c r="D805" s="113"/>
      <c r="E805" s="113"/>
      <c r="F805" s="113"/>
      <c r="G805" s="113"/>
      <c r="H805" s="113"/>
    </row>
    <row r="806" spans="2:8" ht="12.75">
      <c r="B806" s="113"/>
      <c r="C806" s="113"/>
      <c r="D806" s="113"/>
      <c r="E806" s="113"/>
      <c r="F806" s="113"/>
      <c r="G806" s="113"/>
      <c r="H806" s="113"/>
    </row>
    <row r="807" spans="2:8" ht="12.75">
      <c r="B807" s="113"/>
      <c r="C807" s="113"/>
      <c r="D807" s="113"/>
      <c r="E807" s="113"/>
      <c r="F807" s="113"/>
      <c r="G807" s="113"/>
      <c r="H807" s="113"/>
    </row>
    <row r="808" spans="2:8" ht="12.75">
      <c r="B808" s="113"/>
      <c r="C808" s="113"/>
      <c r="D808" s="113"/>
      <c r="E808" s="113"/>
      <c r="F808" s="113"/>
      <c r="G808" s="113"/>
      <c r="H808" s="113"/>
    </row>
    <row r="809" spans="2:8" ht="12.75">
      <c r="B809" s="113"/>
      <c r="C809" s="113"/>
      <c r="D809" s="113"/>
      <c r="E809" s="113"/>
      <c r="F809" s="113"/>
      <c r="G809" s="113"/>
      <c r="H809" s="113"/>
    </row>
    <row r="810" spans="2:8" ht="12.75">
      <c r="B810" s="113"/>
      <c r="C810" s="113"/>
      <c r="D810" s="113"/>
      <c r="E810" s="113"/>
      <c r="F810" s="113"/>
      <c r="G810" s="113"/>
      <c r="H810" s="113"/>
    </row>
    <row r="811" spans="2:8" ht="12.75">
      <c r="B811" s="113"/>
      <c r="C811" s="113"/>
      <c r="D811" s="113"/>
      <c r="E811" s="113"/>
      <c r="F811" s="113"/>
      <c r="G811" s="113"/>
      <c r="H811" s="113"/>
    </row>
    <row r="812" spans="2:8" ht="12.75">
      <c r="B812" s="113"/>
      <c r="C812" s="113"/>
      <c r="D812" s="113"/>
      <c r="E812" s="113"/>
      <c r="F812" s="113"/>
      <c r="G812" s="113"/>
      <c r="H812" s="113"/>
    </row>
    <row r="813" spans="2:8" ht="12.75">
      <c r="B813" s="113"/>
      <c r="C813" s="113"/>
      <c r="D813" s="113"/>
      <c r="E813" s="113"/>
      <c r="F813" s="113"/>
      <c r="G813" s="113"/>
      <c r="H813" s="113"/>
    </row>
    <row r="814" spans="2:8" ht="12.75">
      <c r="B814" s="113"/>
      <c r="C814" s="113"/>
      <c r="D814" s="113"/>
      <c r="E814" s="113"/>
      <c r="F814" s="113"/>
      <c r="G814" s="113"/>
      <c r="H814" s="113"/>
    </row>
    <row r="815" spans="2:8" ht="12.75">
      <c r="B815" s="113"/>
      <c r="C815" s="113"/>
      <c r="D815" s="113"/>
      <c r="E815" s="113"/>
      <c r="F815" s="113"/>
      <c r="G815" s="113"/>
      <c r="H815" s="113"/>
    </row>
    <row r="816" spans="2:8" ht="12.75">
      <c r="B816" s="113"/>
      <c r="C816" s="113"/>
      <c r="D816" s="113"/>
      <c r="E816" s="113"/>
      <c r="F816" s="113"/>
      <c r="G816" s="113"/>
      <c r="H816" s="113"/>
    </row>
    <row r="817" spans="2:8" ht="12.75">
      <c r="B817" s="113"/>
      <c r="C817" s="113"/>
      <c r="D817" s="113"/>
      <c r="E817" s="113"/>
      <c r="F817" s="113"/>
      <c r="G817" s="113"/>
      <c r="H817" s="113"/>
    </row>
    <row r="818" spans="2:8" ht="12.75">
      <c r="B818" s="113"/>
      <c r="C818" s="113"/>
      <c r="D818" s="113"/>
      <c r="E818" s="113"/>
      <c r="F818" s="113"/>
      <c r="G818" s="113"/>
      <c r="H818" s="113"/>
    </row>
    <row r="819" spans="2:8" ht="12.75">
      <c r="B819" s="113"/>
      <c r="C819" s="113"/>
      <c r="D819" s="113"/>
      <c r="E819" s="113"/>
      <c r="F819" s="113"/>
      <c r="G819" s="113"/>
      <c r="H819" s="113"/>
    </row>
    <row r="820" spans="2:8" ht="12.75">
      <c r="B820" s="113"/>
      <c r="C820" s="113"/>
      <c r="D820" s="113"/>
      <c r="E820" s="113"/>
      <c r="F820" s="113"/>
      <c r="G820" s="113"/>
      <c r="H820" s="113"/>
    </row>
    <row r="821" spans="2:8" ht="12.75">
      <c r="B821" s="113"/>
      <c r="C821" s="113"/>
      <c r="D821" s="113"/>
      <c r="E821" s="113"/>
      <c r="F821" s="113"/>
      <c r="G821" s="113"/>
      <c r="H821" s="113"/>
    </row>
    <row r="822" spans="2:8" ht="12.75">
      <c r="B822" s="113"/>
      <c r="C822" s="113"/>
      <c r="D822" s="113"/>
      <c r="E822" s="113"/>
      <c r="F822" s="113"/>
      <c r="G822" s="113"/>
      <c r="H822" s="113"/>
    </row>
    <row r="823" spans="2:8" ht="12.75">
      <c r="B823" s="113"/>
      <c r="C823" s="113"/>
      <c r="D823" s="113"/>
      <c r="E823" s="113"/>
      <c r="F823" s="113"/>
      <c r="G823" s="113"/>
      <c r="H823" s="113"/>
    </row>
    <row r="824" spans="2:8" ht="12.75">
      <c r="B824" s="113"/>
      <c r="C824" s="113"/>
      <c r="D824" s="113"/>
      <c r="E824" s="113"/>
      <c r="F824" s="113"/>
      <c r="G824" s="113"/>
      <c r="H824" s="113"/>
    </row>
    <row r="825" spans="2:8" ht="12.75">
      <c r="B825" s="113"/>
      <c r="C825" s="113"/>
      <c r="D825" s="113"/>
      <c r="E825" s="113"/>
      <c r="F825" s="113"/>
      <c r="G825" s="113"/>
      <c r="H825" s="113"/>
    </row>
    <row r="826" spans="2:8" ht="12.75">
      <c r="B826" s="113"/>
      <c r="C826" s="113"/>
      <c r="D826" s="113"/>
      <c r="E826" s="113"/>
      <c r="F826" s="113"/>
      <c r="G826" s="113"/>
      <c r="H826" s="113"/>
    </row>
    <row r="827" spans="2:8" ht="12.75">
      <c r="B827" s="113"/>
      <c r="C827" s="113"/>
      <c r="D827" s="113"/>
      <c r="E827" s="113"/>
      <c r="F827" s="113"/>
      <c r="G827" s="113"/>
      <c r="H827" s="113"/>
    </row>
    <row r="828" spans="2:8" ht="12.75">
      <c r="B828" s="113"/>
      <c r="C828" s="113"/>
      <c r="D828" s="113"/>
      <c r="E828" s="113"/>
      <c r="F828" s="113"/>
      <c r="G828" s="113"/>
      <c r="H828" s="113"/>
    </row>
    <row r="829" spans="2:8" ht="12.75">
      <c r="B829" s="113"/>
      <c r="C829" s="113"/>
      <c r="D829" s="113"/>
      <c r="E829" s="113"/>
      <c r="F829" s="113"/>
      <c r="G829" s="113"/>
      <c r="H829" s="113"/>
    </row>
    <row r="830" spans="2:8" ht="12.75">
      <c r="B830" s="113"/>
      <c r="C830" s="113"/>
      <c r="D830" s="113"/>
      <c r="E830" s="113"/>
      <c r="F830" s="113"/>
      <c r="G830" s="113"/>
      <c r="H830" s="113"/>
    </row>
    <row r="831" spans="2:8" ht="12.75">
      <c r="B831" s="113"/>
      <c r="C831" s="113"/>
      <c r="D831" s="113"/>
      <c r="E831" s="113"/>
      <c r="F831" s="113"/>
      <c r="G831" s="113"/>
      <c r="H831" s="113"/>
    </row>
    <row r="832" spans="2:8" ht="12.75">
      <c r="B832" s="113"/>
      <c r="C832" s="113"/>
      <c r="D832" s="113"/>
      <c r="E832" s="113"/>
      <c r="F832" s="113"/>
      <c r="G832" s="113"/>
      <c r="H832" s="113"/>
    </row>
    <row r="833" spans="2:8" ht="12.75">
      <c r="B833" s="113"/>
      <c r="C833" s="113"/>
      <c r="D833" s="113"/>
      <c r="E833" s="113"/>
      <c r="F833" s="113"/>
      <c r="G833" s="113"/>
      <c r="H833" s="113"/>
    </row>
    <row r="834" spans="2:8" ht="12.75">
      <c r="B834" s="113"/>
      <c r="C834" s="113"/>
      <c r="D834" s="113"/>
      <c r="E834" s="113"/>
      <c r="F834" s="113"/>
      <c r="G834" s="113"/>
      <c r="H834" s="113"/>
    </row>
    <row r="835" spans="2:8" ht="12.75">
      <c r="B835" s="113"/>
      <c r="C835" s="113"/>
      <c r="D835" s="113"/>
      <c r="E835" s="113"/>
      <c r="F835" s="113"/>
      <c r="G835" s="113"/>
      <c r="H835" s="113"/>
    </row>
    <row r="836" spans="2:8" ht="12.75">
      <c r="B836" s="113"/>
      <c r="C836" s="113"/>
      <c r="D836" s="113"/>
      <c r="E836" s="113"/>
      <c r="F836" s="113"/>
      <c r="G836" s="113"/>
      <c r="H836" s="113"/>
    </row>
    <row r="837" spans="2:8" ht="12.75">
      <c r="B837" s="113"/>
      <c r="C837" s="113"/>
      <c r="D837" s="113"/>
      <c r="E837" s="113"/>
      <c r="F837" s="113"/>
      <c r="G837" s="113"/>
      <c r="H837" s="113"/>
    </row>
    <row r="838" spans="2:8" ht="12.75">
      <c r="B838" s="113"/>
      <c r="C838" s="113"/>
      <c r="D838" s="113"/>
      <c r="E838" s="113"/>
      <c r="F838" s="113"/>
      <c r="G838" s="113"/>
      <c r="H838" s="113"/>
    </row>
    <row r="839" spans="2:8" ht="12.75">
      <c r="B839" s="113"/>
      <c r="C839" s="113"/>
      <c r="D839" s="113"/>
      <c r="E839" s="113"/>
      <c r="F839" s="113"/>
      <c r="G839" s="113"/>
      <c r="H839" s="113"/>
    </row>
    <row r="840" spans="2:8" ht="12.75">
      <c r="B840" s="113"/>
      <c r="C840" s="113"/>
      <c r="D840" s="113"/>
      <c r="E840" s="113"/>
      <c r="F840" s="113"/>
      <c r="G840" s="113"/>
      <c r="H840" s="113"/>
    </row>
    <row r="841" spans="2:8" ht="12.75">
      <c r="B841" s="113"/>
      <c r="C841" s="113"/>
      <c r="D841" s="113"/>
      <c r="E841" s="113"/>
      <c r="F841" s="113"/>
      <c r="G841" s="113"/>
      <c r="H841" s="113"/>
    </row>
    <row r="842" spans="2:8" ht="12.75">
      <c r="B842" s="113"/>
      <c r="C842" s="113"/>
      <c r="D842" s="113"/>
      <c r="E842" s="113"/>
      <c r="F842" s="113"/>
      <c r="G842" s="113"/>
      <c r="H842" s="113"/>
    </row>
    <row r="843" spans="2:8" ht="12.75">
      <c r="B843" s="113"/>
      <c r="C843" s="113"/>
      <c r="D843" s="113"/>
      <c r="E843" s="113"/>
      <c r="F843" s="113"/>
      <c r="G843" s="113"/>
      <c r="H843" s="113"/>
    </row>
    <row r="844" spans="2:8" ht="12.75">
      <c r="B844" s="113"/>
      <c r="C844" s="113"/>
      <c r="D844" s="113"/>
      <c r="E844" s="113"/>
      <c r="F844" s="113"/>
      <c r="G844" s="113"/>
      <c r="H844" s="113"/>
    </row>
    <row r="845" spans="2:8" ht="12.75">
      <c r="B845" s="113"/>
      <c r="C845" s="113"/>
      <c r="D845" s="113"/>
      <c r="E845" s="113"/>
      <c r="F845" s="113"/>
      <c r="G845" s="113"/>
      <c r="H845" s="113"/>
    </row>
    <row r="846" spans="2:8" ht="12.75">
      <c r="B846" s="113"/>
      <c r="C846" s="113"/>
      <c r="D846" s="113"/>
      <c r="E846" s="113"/>
      <c r="F846" s="113"/>
      <c r="G846" s="113"/>
      <c r="H846" s="113"/>
    </row>
    <row r="847" spans="2:8" ht="12.75">
      <c r="B847" s="113"/>
      <c r="C847" s="113"/>
      <c r="D847" s="113"/>
      <c r="E847" s="113"/>
      <c r="F847" s="113"/>
      <c r="G847" s="113"/>
      <c r="H847" s="113"/>
    </row>
    <row r="848" spans="2:8" ht="12.75">
      <c r="B848" s="113"/>
      <c r="C848" s="113"/>
      <c r="D848" s="113"/>
      <c r="E848" s="113"/>
      <c r="F848" s="113"/>
      <c r="G848" s="113"/>
      <c r="H848" s="113"/>
    </row>
    <row r="849" spans="2:8" ht="12.75">
      <c r="B849" s="113"/>
      <c r="C849" s="113"/>
      <c r="D849" s="113"/>
      <c r="E849" s="113"/>
      <c r="F849" s="113"/>
      <c r="G849" s="113"/>
      <c r="H849" s="113"/>
    </row>
    <row r="850" spans="2:8" ht="12.75">
      <c r="B850" s="113"/>
      <c r="C850" s="113"/>
      <c r="D850" s="113"/>
      <c r="E850" s="113"/>
      <c r="F850" s="113"/>
      <c r="G850" s="113"/>
      <c r="H850" s="113"/>
    </row>
    <row r="851" spans="2:8" ht="12.75">
      <c r="B851" s="113"/>
      <c r="C851" s="113"/>
      <c r="D851" s="113"/>
      <c r="E851" s="113"/>
      <c r="F851" s="113"/>
      <c r="G851" s="113"/>
      <c r="H851" s="113"/>
    </row>
    <row r="852" spans="2:8" ht="12.75">
      <c r="B852" s="113"/>
      <c r="C852" s="113"/>
      <c r="D852" s="113"/>
      <c r="E852" s="113"/>
      <c r="F852" s="113"/>
      <c r="G852" s="113"/>
      <c r="H852" s="113"/>
    </row>
    <row r="853" spans="2:8" ht="12.75">
      <c r="B853" s="113"/>
      <c r="C853" s="113"/>
      <c r="D853" s="113"/>
      <c r="E853" s="113"/>
      <c r="F853" s="113"/>
      <c r="G853" s="113"/>
      <c r="H853" s="113"/>
    </row>
    <row r="854" spans="2:8" ht="12.75">
      <c r="B854" s="113"/>
      <c r="C854" s="113"/>
      <c r="D854" s="113"/>
      <c r="E854" s="113"/>
      <c r="F854" s="113"/>
      <c r="G854" s="113"/>
      <c r="H854" s="113"/>
    </row>
    <row r="855" spans="2:8" ht="12.75">
      <c r="B855" s="113"/>
      <c r="C855" s="113"/>
      <c r="D855" s="113"/>
      <c r="E855" s="113"/>
      <c r="F855" s="113"/>
      <c r="G855" s="113"/>
      <c r="H855" s="113"/>
    </row>
    <row r="856" spans="2:8" ht="12.75">
      <c r="B856" s="113"/>
      <c r="C856" s="113"/>
      <c r="D856" s="113"/>
      <c r="E856" s="113"/>
      <c r="F856" s="113"/>
      <c r="G856" s="113"/>
      <c r="H856" s="113"/>
    </row>
    <row r="857" spans="2:8" ht="12.75">
      <c r="B857" s="113"/>
      <c r="C857" s="113"/>
      <c r="D857" s="113"/>
      <c r="E857" s="113"/>
      <c r="F857" s="113"/>
      <c r="G857" s="113"/>
      <c r="H857" s="113"/>
    </row>
    <row r="858" spans="2:8" ht="12.75">
      <c r="B858" s="113"/>
      <c r="C858" s="113"/>
      <c r="D858" s="113"/>
      <c r="E858" s="113"/>
      <c r="F858" s="113"/>
      <c r="G858" s="113"/>
      <c r="H858" s="113"/>
    </row>
    <row r="859" spans="2:8" ht="12.75">
      <c r="B859" s="113"/>
      <c r="C859" s="113"/>
      <c r="D859" s="113"/>
      <c r="E859" s="113"/>
      <c r="F859" s="113"/>
      <c r="G859" s="113"/>
      <c r="H859" s="113"/>
    </row>
    <row r="860" spans="2:8" ht="12.75">
      <c r="B860" s="113"/>
      <c r="C860" s="113"/>
      <c r="D860" s="113"/>
      <c r="E860" s="113"/>
      <c r="F860" s="113"/>
      <c r="G860" s="113"/>
      <c r="H860" s="113"/>
    </row>
    <row r="861" spans="2:8" ht="12.75">
      <c r="B861" s="113"/>
      <c r="C861" s="113"/>
      <c r="D861" s="113"/>
      <c r="E861" s="113"/>
      <c r="F861" s="113"/>
      <c r="G861" s="113"/>
      <c r="H861" s="113"/>
    </row>
    <row r="862" spans="2:8" ht="12.75">
      <c r="B862" s="113"/>
      <c r="C862" s="113"/>
      <c r="D862" s="113"/>
      <c r="E862" s="113"/>
      <c r="F862" s="113"/>
      <c r="G862" s="113"/>
      <c r="H862" s="113"/>
    </row>
    <row r="863" spans="2:8" ht="12.75">
      <c r="B863" s="113"/>
      <c r="C863" s="113"/>
      <c r="D863" s="113"/>
      <c r="E863" s="113"/>
      <c r="F863" s="113"/>
      <c r="G863" s="113"/>
      <c r="H863" s="113"/>
    </row>
    <row r="864" spans="2:8" ht="12.75">
      <c r="B864" s="113"/>
      <c r="C864" s="113"/>
      <c r="D864" s="113"/>
      <c r="E864" s="113"/>
      <c r="F864" s="113"/>
      <c r="G864" s="113"/>
      <c r="H864" s="113"/>
    </row>
    <row r="865" spans="2:8" ht="12.75">
      <c r="B865" s="113"/>
      <c r="C865" s="113"/>
      <c r="D865" s="113"/>
      <c r="E865" s="113"/>
      <c r="F865" s="113"/>
      <c r="G865" s="113"/>
      <c r="H865" s="113"/>
    </row>
    <row r="866" spans="2:8" ht="12.75">
      <c r="B866" s="113"/>
      <c r="C866" s="113"/>
      <c r="D866" s="113"/>
      <c r="E866" s="113"/>
      <c r="F866" s="113"/>
      <c r="G866" s="113"/>
      <c r="H866" s="113"/>
    </row>
    <row r="867" spans="2:8" ht="12.75">
      <c r="B867" s="113"/>
      <c r="C867" s="113"/>
      <c r="D867" s="113"/>
      <c r="E867" s="113"/>
      <c r="F867" s="113"/>
      <c r="G867" s="113"/>
      <c r="H867" s="113"/>
    </row>
    <row r="868" spans="2:8" ht="12.75">
      <c r="B868" s="113"/>
      <c r="C868" s="113"/>
      <c r="D868" s="113"/>
      <c r="E868" s="113"/>
      <c r="F868" s="113"/>
      <c r="G868" s="113"/>
      <c r="H868" s="113"/>
    </row>
    <row r="869" spans="2:8" ht="12.75">
      <c r="B869" s="113"/>
      <c r="C869" s="113"/>
      <c r="D869" s="113"/>
      <c r="E869" s="113"/>
      <c r="F869" s="113"/>
      <c r="G869" s="113"/>
      <c r="H869" s="113"/>
    </row>
    <row r="870" spans="2:8" ht="12.75">
      <c r="B870" s="113"/>
      <c r="C870" s="113"/>
      <c r="D870" s="113"/>
      <c r="E870" s="113"/>
      <c r="F870" s="113"/>
      <c r="G870" s="113"/>
      <c r="H870" s="113"/>
    </row>
    <row r="871" spans="2:8" ht="12.75">
      <c r="B871" s="113"/>
      <c r="C871" s="113"/>
      <c r="D871" s="113"/>
      <c r="E871" s="113"/>
      <c r="F871" s="113"/>
      <c r="G871" s="113"/>
      <c r="H871" s="113"/>
    </row>
    <row r="872" spans="2:8" ht="12.75">
      <c r="B872" s="113"/>
      <c r="C872" s="113"/>
      <c r="D872" s="113"/>
      <c r="E872" s="113"/>
      <c r="F872" s="113"/>
      <c r="G872" s="113"/>
      <c r="H872" s="113"/>
    </row>
    <row r="873" spans="2:8" ht="12.75">
      <c r="B873" s="113"/>
      <c r="C873" s="113"/>
      <c r="D873" s="113"/>
      <c r="E873" s="113"/>
      <c r="F873" s="113"/>
      <c r="G873" s="113"/>
      <c r="H873" s="113"/>
    </row>
    <row r="874" spans="2:8" ht="12.75">
      <c r="B874" s="113"/>
      <c r="C874" s="113"/>
      <c r="D874" s="113"/>
      <c r="E874" s="113"/>
      <c r="F874" s="113"/>
      <c r="G874" s="113"/>
      <c r="H874" s="113"/>
    </row>
    <row r="875" spans="2:8" ht="12.75">
      <c r="B875" s="113"/>
      <c r="C875" s="113"/>
      <c r="D875" s="113"/>
      <c r="E875" s="113"/>
      <c r="F875" s="113"/>
      <c r="G875" s="113"/>
      <c r="H875" s="113"/>
    </row>
    <row r="876" spans="2:8" ht="12.75">
      <c r="B876" s="113"/>
      <c r="C876" s="113"/>
      <c r="D876" s="113"/>
      <c r="E876" s="113"/>
      <c r="F876" s="113"/>
      <c r="G876" s="113"/>
      <c r="H876" s="113"/>
    </row>
    <row r="877" spans="2:8" ht="12.75">
      <c r="B877" s="113"/>
      <c r="C877" s="113"/>
      <c r="D877" s="113"/>
      <c r="E877" s="113"/>
      <c r="F877" s="113"/>
      <c r="G877" s="113"/>
      <c r="H877" s="113"/>
    </row>
    <row r="878" spans="2:8" ht="12.75">
      <c r="B878" s="113"/>
      <c r="C878" s="113"/>
      <c r="D878" s="113"/>
      <c r="E878" s="113"/>
      <c r="F878" s="113"/>
      <c r="G878" s="113"/>
      <c r="H878" s="113"/>
    </row>
    <row r="879" spans="2:8" ht="12.75">
      <c r="B879" s="113"/>
      <c r="C879" s="113"/>
      <c r="D879" s="113"/>
      <c r="E879" s="113"/>
      <c r="F879" s="113"/>
      <c r="G879" s="113"/>
      <c r="H879" s="113"/>
    </row>
    <row r="880" spans="2:8" ht="12.75">
      <c r="B880" s="113"/>
      <c r="C880" s="113"/>
      <c r="D880" s="113"/>
      <c r="E880" s="113"/>
      <c r="F880" s="113"/>
      <c r="G880" s="113"/>
      <c r="H880" s="113"/>
    </row>
    <row r="881" spans="2:8" ht="12.75">
      <c r="B881" s="113"/>
      <c r="C881" s="113"/>
      <c r="D881" s="113"/>
      <c r="E881" s="113"/>
      <c r="F881" s="113"/>
      <c r="G881" s="113"/>
      <c r="H881" s="113"/>
    </row>
    <row r="882" spans="2:8" ht="12.75">
      <c r="B882" s="113"/>
      <c r="C882" s="113"/>
      <c r="D882" s="113"/>
      <c r="E882" s="113"/>
      <c r="F882" s="113"/>
      <c r="G882" s="113"/>
      <c r="H882" s="113"/>
    </row>
    <row r="883" spans="2:8" ht="12.75">
      <c r="B883" s="113"/>
      <c r="C883" s="113"/>
      <c r="D883" s="113"/>
      <c r="E883" s="113"/>
      <c r="F883" s="113"/>
      <c r="G883" s="113"/>
      <c r="H883" s="113"/>
    </row>
    <row r="884" spans="2:8" ht="12.75">
      <c r="B884" s="113"/>
      <c r="C884" s="113"/>
      <c r="D884" s="113"/>
      <c r="E884" s="113"/>
      <c r="F884" s="113"/>
      <c r="G884" s="113"/>
      <c r="H884" s="113"/>
    </row>
    <row r="885" spans="2:8" ht="12.75">
      <c r="B885" s="113"/>
      <c r="C885" s="113"/>
      <c r="D885" s="113"/>
      <c r="E885" s="113"/>
      <c r="F885" s="113"/>
      <c r="G885" s="113"/>
      <c r="H885" s="113"/>
    </row>
    <row r="886" spans="2:8" ht="12.75">
      <c r="B886" s="113"/>
      <c r="C886" s="113"/>
      <c r="D886" s="113"/>
      <c r="E886" s="113"/>
      <c r="F886" s="113"/>
      <c r="G886" s="113"/>
      <c r="H886" s="113"/>
    </row>
    <row r="887" spans="2:8" ht="12.75">
      <c r="B887" s="113"/>
      <c r="C887" s="113"/>
      <c r="D887" s="113"/>
      <c r="E887" s="113"/>
      <c r="F887" s="113"/>
      <c r="G887" s="113"/>
      <c r="H887" s="113"/>
    </row>
    <row r="888" spans="2:8" ht="12.75">
      <c r="B888" s="113"/>
      <c r="C888" s="113"/>
      <c r="D888" s="113"/>
      <c r="E888" s="113"/>
      <c r="F888" s="113"/>
      <c r="G888" s="113"/>
      <c r="H888" s="113"/>
    </row>
    <row r="889" spans="2:8" ht="12.75">
      <c r="B889" s="113"/>
      <c r="C889" s="113"/>
      <c r="D889" s="113"/>
      <c r="E889" s="113"/>
      <c r="F889" s="113"/>
      <c r="G889" s="113"/>
      <c r="H889" s="113"/>
    </row>
    <row r="890" spans="2:8" ht="12.75">
      <c r="B890" s="113"/>
      <c r="C890" s="113"/>
      <c r="D890" s="113"/>
      <c r="E890" s="113"/>
      <c r="F890" s="113"/>
      <c r="G890" s="113"/>
      <c r="H890" s="113"/>
    </row>
    <row r="891" spans="2:8" ht="12.75">
      <c r="B891" s="113"/>
      <c r="C891" s="113"/>
      <c r="D891" s="113"/>
      <c r="E891" s="113"/>
      <c r="F891" s="113"/>
      <c r="G891" s="113"/>
      <c r="H891" s="113"/>
    </row>
    <row r="892" spans="2:8" ht="12.75">
      <c r="B892" s="113"/>
      <c r="C892" s="113"/>
      <c r="D892" s="113"/>
      <c r="E892" s="113"/>
      <c r="F892" s="113"/>
      <c r="G892" s="113"/>
      <c r="H892" s="113"/>
    </row>
    <row r="893" spans="2:8" ht="12.75">
      <c r="B893" s="113"/>
      <c r="C893" s="113"/>
      <c r="D893" s="113"/>
      <c r="E893" s="113"/>
      <c r="F893" s="113"/>
      <c r="G893" s="113"/>
      <c r="H893" s="113"/>
    </row>
    <row r="894" spans="2:8" ht="12.75">
      <c r="B894" s="113"/>
      <c r="C894" s="113"/>
      <c r="D894" s="113"/>
      <c r="E894" s="113"/>
      <c r="F894" s="113"/>
      <c r="G894" s="113"/>
      <c r="H894" s="113"/>
    </row>
    <row r="895" spans="2:8" ht="12.75">
      <c r="B895" s="113"/>
      <c r="C895" s="113"/>
      <c r="D895" s="113"/>
      <c r="E895" s="113"/>
      <c r="F895" s="113"/>
      <c r="G895" s="113"/>
      <c r="H895" s="113"/>
    </row>
    <row r="896" spans="2:8" ht="12.75">
      <c r="B896" s="113"/>
      <c r="C896" s="113"/>
      <c r="D896" s="113"/>
      <c r="E896" s="113"/>
      <c r="F896" s="113"/>
      <c r="G896" s="113"/>
      <c r="H896" s="113"/>
    </row>
    <row r="897" spans="2:8" ht="12.75">
      <c r="B897" s="113"/>
      <c r="C897" s="113"/>
      <c r="D897" s="113"/>
      <c r="E897" s="113"/>
      <c r="F897" s="113"/>
      <c r="G897" s="113"/>
      <c r="H897" s="113"/>
    </row>
    <row r="898" spans="2:8" ht="12.75">
      <c r="B898" s="113"/>
      <c r="C898" s="113"/>
      <c r="D898" s="113"/>
      <c r="E898" s="113"/>
      <c r="F898" s="113"/>
      <c r="G898" s="113"/>
      <c r="H898" s="113"/>
    </row>
    <row r="899" spans="2:8" ht="12.75">
      <c r="B899" s="113"/>
      <c r="C899" s="113"/>
      <c r="D899" s="113"/>
      <c r="E899" s="113"/>
      <c r="F899" s="113"/>
      <c r="G899" s="113"/>
      <c r="H899" s="113"/>
    </row>
    <row r="900" spans="2:8" ht="12.75">
      <c r="B900" s="113"/>
      <c r="C900" s="113"/>
      <c r="D900" s="113"/>
      <c r="E900" s="113"/>
      <c r="F900" s="113"/>
      <c r="G900" s="113"/>
      <c r="H900" s="113"/>
    </row>
    <row r="901" spans="2:8" ht="12.75">
      <c r="B901" s="113"/>
      <c r="C901" s="113"/>
      <c r="D901" s="113"/>
      <c r="E901" s="113"/>
      <c r="F901" s="113"/>
      <c r="G901" s="113"/>
      <c r="H901" s="113"/>
    </row>
    <row r="902" spans="2:8" ht="12.75">
      <c r="B902" s="113"/>
      <c r="C902" s="113"/>
      <c r="D902" s="113"/>
      <c r="E902" s="113"/>
      <c r="F902" s="113"/>
      <c r="G902" s="113"/>
      <c r="H902" s="113"/>
    </row>
    <row r="903" spans="2:8" ht="12.75">
      <c r="B903" s="113"/>
      <c r="C903" s="113"/>
      <c r="D903" s="113"/>
      <c r="E903" s="113"/>
      <c r="F903" s="113"/>
      <c r="G903" s="113"/>
      <c r="H903" s="113"/>
    </row>
    <row r="904" spans="2:8" ht="12.75">
      <c r="B904" s="113"/>
      <c r="C904" s="113"/>
      <c r="D904" s="113"/>
      <c r="E904" s="113"/>
      <c r="F904" s="113"/>
      <c r="G904" s="113"/>
      <c r="H904" s="113"/>
    </row>
    <row r="905" spans="2:8" ht="12.75">
      <c r="B905" s="113"/>
      <c r="C905" s="113"/>
      <c r="D905" s="113"/>
      <c r="E905" s="113"/>
      <c r="F905" s="113"/>
      <c r="G905" s="113"/>
      <c r="H905" s="113"/>
    </row>
    <row r="906" spans="2:8" ht="12.75">
      <c r="B906" s="113"/>
      <c r="C906" s="113"/>
      <c r="D906" s="113"/>
      <c r="E906" s="113"/>
      <c r="F906" s="113"/>
      <c r="G906" s="113"/>
      <c r="H906" s="113"/>
    </row>
    <row r="907" spans="2:8" ht="12.75">
      <c r="B907" s="113"/>
      <c r="C907" s="113"/>
      <c r="D907" s="113"/>
      <c r="E907" s="113"/>
      <c r="F907" s="113"/>
      <c r="G907" s="113"/>
      <c r="H907" s="113"/>
    </row>
    <row r="908" spans="2:8" ht="12.75">
      <c r="B908" s="113"/>
      <c r="C908" s="113"/>
      <c r="D908" s="113"/>
      <c r="E908" s="113"/>
      <c r="F908" s="113"/>
      <c r="G908" s="113"/>
      <c r="H908" s="113"/>
    </row>
    <row r="909" spans="2:8" ht="12.75">
      <c r="B909" s="113"/>
      <c r="C909" s="113"/>
      <c r="D909" s="113"/>
      <c r="E909" s="113"/>
      <c r="F909" s="113"/>
      <c r="G909" s="113"/>
      <c r="H909" s="113"/>
    </row>
    <row r="910" spans="2:8" ht="12.75">
      <c r="B910" s="113"/>
      <c r="C910" s="113"/>
      <c r="D910" s="113"/>
      <c r="E910" s="113"/>
      <c r="F910" s="113"/>
      <c r="G910" s="113"/>
      <c r="H910" s="113"/>
    </row>
    <row r="911" spans="2:8" ht="12.75">
      <c r="B911" s="113"/>
      <c r="C911" s="113"/>
      <c r="D911" s="113"/>
      <c r="E911" s="113"/>
      <c r="F911" s="113"/>
      <c r="G911" s="113"/>
      <c r="H911" s="113"/>
    </row>
    <row r="912" spans="2:8" ht="12.75">
      <c r="B912" s="113"/>
      <c r="C912" s="113"/>
      <c r="D912" s="113"/>
      <c r="E912" s="113"/>
      <c r="F912" s="113"/>
      <c r="G912" s="113"/>
      <c r="H912" s="113"/>
    </row>
    <row r="913" spans="2:8" ht="12.75">
      <c r="B913" s="113"/>
      <c r="C913" s="113"/>
      <c r="D913" s="113"/>
      <c r="E913" s="113"/>
      <c r="F913" s="113"/>
      <c r="G913" s="113"/>
      <c r="H913" s="113"/>
    </row>
    <row r="914" spans="2:8" ht="12.75">
      <c r="B914" s="113"/>
      <c r="C914" s="113"/>
      <c r="D914" s="113"/>
      <c r="E914" s="113"/>
      <c r="F914" s="113"/>
      <c r="G914" s="113"/>
      <c r="H914" s="113"/>
    </row>
    <row r="915" spans="2:8" ht="12.75">
      <c r="B915" s="113"/>
      <c r="C915" s="113"/>
      <c r="D915" s="113"/>
      <c r="E915" s="113"/>
      <c r="F915" s="113"/>
      <c r="G915" s="113"/>
      <c r="H915" s="113"/>
    </row>
    <row r="916" spans="2:8" ht="12.75">
      <c r="B916" s="113"/>
      <c r="C916" s="113"/>
      <c r="D916" s="113"/>
      <c r="E916" s="113"/>
      <c r="F916" s="113"/>
      <c r="G916" s="113"/>
      <c r="H916" s="113"/>
    </row>
    <row r="917" spans="2:8" ht="12.75">
      <c r="B917" s="113"/>
      <c r="C917" s="113"/>
      <c r="D917" s="113"/>
      <c r="E917" s="113"/>
      <c r="F917" s="113"/>
      <c r="G917" s="113"/>
      <c r="H917" s="113"/>
    </row>
    <row r="918" spans="2:8" ht="12.75">
      <c r="B918" s="113"/>
      <c r="C918" s="113"/>
      <c r="D918" s="113"/>
      <c r="E918" s="113"/>
      <c r="F918" s="113"/>
      <c r="G918" s="113"/>
      <c r="H918" s="113"/>
    </row>
    <row r="919" spans="2:8" ht="12.75">
      <c r="B919" s="113"/>
      <c r="C919" s="113"/>
      <c r="D919" s="113"/>
      <c r="E919" s="113"/>
      <c r="F919" s="113"/>
      <c r="G919" s="113"/>
      <c r="H919" s="113"/>
    </row>
    <row r="920" spans="2:8" ht="12.75">
      <c r="B920" s="113"/>
      <c r="C920" s="113"/>
      <c r="D920" s="113"/>
      <c r="E920" s="113"/>
      <c r="F920" s="113"/>
      <c r="G920" s="113"/>
      <c r="H920" s="113"/>
    </row>
    <row r="921" spans="2:8" ht="12.75">
      <c r="B921" s="113"/>
      <c r="C921" s="113"/>
      <c r="D921" s="113"/>
      <c r="E921" s="113"/>
      <c r="F921" s="113"/>
      <c r="G921" s="113"/>
      <c r="H921" s="113"/>
    </row>
    <row r="922" spans="2:8" ht="12.75">
      <c r="B922" s="113"/>
      <c r="C922" s="113"/>
      <c r="D922" s="113"/>
      <c r="E922" s="113"/>
      <c r="F922" s="113"/>
      <c r="G922" s="113"/>
      <c r="H922" s="113"/>
    </row>
    <row r="923" spans="2:8" ht="12.75">
      <c r="B923" s="113"/>
      <c r="C923" s="113"/>
      <c r="D923" s="113"/>
      <c r="E923" s="113"/>
      <c r="F923" s="113"/>
      <c r="G923" s="113"/>
      <c r="H923" s="113"/>
    </row>
    <row r="924" spans="2:8" ht="12.75">
      <c r="B924" s="113"/>
      <c r="C924" s="113"/>
      <c r="D924" s="113"/>
      <c r="E924" s="113"/>
      <c r="F924" s="113"/>
      <c r="G924" s="113"/>
      <c r="H924" s="113"/>
    </row>
    <row r="925" spans="2:8" ht="12.75">
      <c r="B925" s="113"/>
      <c r="C925" s="113"/>
      <c r="D925" s="113"/>
      <c r="E925" s="113"/>
      <c r="F925" s="113"/>
      <c r="G925" s="113"/>
      <c r="H925" s="113"/>
    </row>
    <row r="926" spans="2:8" ht="12.75">
      <c r="B926" s="113"/>
      <c r="C926" s="113"/>
      <c r="D926" s="113"/>
      <c r="E926" s="113"/>
      <c r="F926" s="113"/>
      <c r="G926" s="113"/>
      <c r="H926" s="113"/>
    </row>
    <row r="927" spans="2:8" ht="12.75">
      <c r="B927" s="113"/>
      <c r="C927" s="113"/>
      <c r="D927" s="113"/>
      <c r="E927" s="113"/>
      <c r="F927" s="113"/>
      <c r="G927" s="113"/>
      <c r="H927" s="113"/>
    </row>
    <row r="928" spans="2:8" ht="12.75">
      <c r="B928" s="113"/>
      <c r="C928" s="113"/>
      <c r="D928" s="113"/>
      <c r="E928" s="113"/>
      <c r="F928" s="113"/>
      <c r="G928" s="113"/>
      <c r="H928" s="113"/>
    </row>
    <row r="929" spans="2:8" ht="12.75">
      <c r="B929" s="113"/>
      <c r="C929" s="113"/>
      <c r="D929" s="113"/>
      <c r="E929" s="113"/>
      <c r="F929" s="113"/>
      <c r="G929" s="113"/>
      <c r="H929" s="113"/>
    </row>
    <row r="930" spans="2:8" ht="12.75">
      <c r="B930" s="113"/>
      <c r="C930" s="113"/>
      <c r="D930" s="113"/>
      <c r="E930" s="113"/>
      <c r="F930" s="113"/>
      <c r="G930" s="113"/>
      <c r="H930" s="113"/>
    </row>
    <row r="931" spans="2:8" ht="12.75">
      <c r="B931" s="113"/>
      <c r="C931" s="113"/>
      <c r="D931" s="113"/>
      <c r="E931" s="113"/>
      <c r="F931" s="113"/>
      <c r="G931" s="113"/>
      <c r="H931" s="113"/>
    </row>
    <row r="932" spans="2:8" ht="12.75">
      <c r="B932" s="113"/>
      <c r="C932" s="113"/>
      <c r="D932" s="113"/>
      <c r="E932" s="113"/>
      <c r="F932" s="113"/>
      <c r="G932" s="113"/>
      <c r="H932" s="113"/>
    </row>
    <row r="933" spans="2:8" ht="12.75">
      <c r="B933" s="113"/>
      <c r="C933" s="113"/>
      <c r="D933" s="113"/>
      <c r="E933" s="113"/>
      <c r="F933" s="113"/>
      <c r="G933" s="113"/>
      <c r="H933" s="113"/>
    </row>
    <row r="934" spans="2:8" ht="12.75">
      <c r="B934" s="113"/>
      <c r="C934" s="113"/>
      <c r="D934" s="113"/>
      <c r="E934" s="113"/>
      <c r="F934" s="113"/>
      <c r="G934" s="113"/>
      <c r="H934" s="113"/>
    </row>
    <row r="935" spans="2:8" ht="12.75">
      <c r="B935" s="113"/>
      <c r="C935" s="113"/>
      <c r="D935" s="113"/>
      <c r="E935" s="113"/>
      <c r="F935" s="113"/>
      <c r="G935" s="113"/>
      <c r="H935" s="113"/>
    </row>
    <row r="936" spans="2:8" ht="12.75">
      <c r="B936" s="113"/>
      <c r="C936" s="113"/>
      <c r="D936" s="113"/>
      <c r="E936" s="113"/>
      <c r="F936" s="113"/>
      <c r="G936" s="113"/>
      <c r="H936" s="113"/>
    </row>
    <row r="937" spans="2:8" ht="12.75">
      <c r="B937" s="113"/>
      <c r="C937" s="113"/>
      <c r="D937" s="113"/>
      <c r="E937" s="113"/>
      <c r="F937" s="113"/>
      <c r="G937" s="113"/>
      <c r="H937" s="113"/>
    </row>
    <row r="938" spans="2:8" ht="12.75">
      <c r="B938" s="113"/>
      <c r="C938" s="113"/>
      <c r="D938" s="113"/>
      <c r="E938" s="113"/>
      <c r="F938" s="113"/>
      <c r="G938" s="113"/>
      <c r="H938" s="113"/>
    </row>
    <row r="939" spans="2:8" ht="12.75">
      <c r="B939" s="113"/>
      <c r="C939" s="113"/>
      <c r="D939" s="113"/>
      <c r="E939" s="113"/>
      <c r="F939" s="113"/>
      <c r="G939" s="113"/>
      <c r="H939" s="113"/>
    </row>
    <row r="940" spans="2:8" ht="12.75">
      <c r="B940" s="113"/>
      <c r="C940" s="113"/>
      <c r="D940" s="113"/>
      <c r="E940" s="113"/>
      <c r="F940" s="113"/>
      <c r="G940" s="113"/>
      <c r="H940" s="113"/>
    </row>
    <row r="941" spans="2:8" ht="12.75">
      <c r="B941" s="113"/>
      <c r="C941" s="113"/>
      <c r="D941" s="113"/>
      <c r="E941" s="113"/>
      <c r="F941" s="113"/>
      <c r="G941" s="113"/>
      <c r="H941" s="113"/>
    </row>
    <row r="942" spans="2:8" ht="12.75">
      <c r="B942" s="113"/>
      <c r="C942" s="113"/>
      <c r="D942" s="113"/>
      <c r="E942" s="113"/>
      <c r="F942" s="113"/>
      <c r="G942" s="113"/>
      <c r="H942" s="113"/>
    </row>
    <row r="943" spans="2:8" ht="12.75">
      <c r="B943" s="113"/>
      <c r="C943" s="113"/>
      <c r="D943" s="113"/>
      <c r="E943" s="113"/>
      <c r="F943" s="113"/>
      <c r="G943" s="113"/>
      <c r="H943" s="113"/>
    </row>
    <row r="944" spans="2:8" ht="12.75">
      <c r="B944" s="113"/>
      <c r="C944" s="113"/>
      <c r="D944" s="113"/>
      <c r="E944" s="113"/>
      <c r="F944" s="113"/>
      <c r="G944" s="113"/>
      <c r="H944" s="113"/>
    </row>
    <row r="945" spans="2:8" ht="12.75">
      <c r="B945" s="113"/>
      <c r="C945" s="113"/>
      <c r="D945" s="113"/>
      <c r="E945" s="113"/>
      <c r="F945" s="113"/>
      <c r="G945" s="113"/>
      <c r="H945" s="113"/>
    </row>
    <row r="946" spans="2:8" ht="12.75">
      <c r="B946" s="113"/>
      <c r="C946" s="113"/>
      <c r="D946" s="113"/>
      <c r="E946" s="113"/>
      <c r="F946" s="113"/>
      <c r="G946" s="113"/>
      <c r="H946" s="113"/>
    </row>
    <row r="947" spans="2:8" ht="12.75">
      <c r="B947" s="113"/>
      <c r="C947" s="113"/>
      <c r="D947" s="113"/>
      <c r="E947" s="113"/>
      <c r="F947" s="113"/>
      <c r="G947" s="113"/>
      <c r="H947" s="113"/>
    </row>
    <row r="948" spans="2:8" ht="12.75">
      <c r="B948" s="113"/>
      <c r="C948" s="113"/>
      <c r="D948" s="113"/>
      <c r="E948" s="113"/>
      <c r="F948" s="113"/>
      <c r="G948" s="113"/>
      <c r="H948" s="113"/>
    </row>
    <row r="949" spans="2:8" ht="12.75">
      <c r="B949" s="113"/>
      <c r="C949" s="113"/>
      <c r="D949" s="113"/>
      <c r="E949" s="113"/>
      <c r="F949" s="113"/>
      <c r="G949" s="113"/>
      <c r="H949" s="113"/>
    </row>
    <row r="950" spans="2:8" ht="12.75">
      <c r="B950" s="113"/>
      <c r="C950" s="113"/>
      <c r="D950" s="113"/>
      <c r="E950" s="113"/>
      <c r="F950" s="113"/>
      <c r="G950" s="113"/>
      <c r="H950" s="113"/>
    </row>
    <row r="951" spans="2:8" ht="12.75">
      <c r="B951" s="113"/>
      <c r="C951" s="113"/>
      <c r="D951" s="113"/>
      <c r="E951" s="113"/>
      <c r="F951" s="113"/>
      <c r="G951" s="113"/>
      <c r="H951" s="113"/>
    </row>
    <row r="952" spans="2:8" ht="12.75">
      <c r="B952" s="113"/>
      <c r="C952" s="113"/>
      <c r="D952" s="113"/>
      <c r="E952" s="113"/>
      <c r="F952" s="113"/>
      <c r="G952" s="113"/>
      <c r="H952" s="113"/>
    </row>
    <row r="953" spans="2:8" ht="12.75">
      <c r="B953" s="113"/>
      <c r="C953" s="113"/>
      <c r="D953" s="113"/>
      <c r="E953" s="113"/>
      <c r="F953" s="113"/>
      <c r="G953" s="113"/>
      <c r="H953" s="113"/>
    </row>
    <row r="954" spans="2:8" ht="12.75">
      <c r="B954" s="113"/>
      <c r="C954" s="113"/>
      <c r="D954" s="113"/>
      <c r="E954" s="113"/>
      <c r="F954" s="113"/>
      <c r="G954" s="113"/>
      <c r="H954" s="113"/>
    </row>
    <row r="955" spans="2:8" ht="12.75">
      <c r="B955" s="113"/>
      <c r="C955" s="113"/>
      <c r="D955" s="113"/>
      <c r="E955" s="113"/>
      <c r="F955" s="113"/>
      <c r="G955" s="113"/>
      <c r="H955" s="113"/>
    </row>
    <row r="956" spans="2:8" ht="12.75">
      <c r="B956" s="113"/>
      <c r="C956" s="113"/>
      <c r="D956" s="113"/>
      <c r="E956" s="113"/>
      <c r="F956" s="113"/>
      <c r="G956" s="113"/>
      <c r="H956" s="113"/>
    </row>
    <row r="957" spans="2:8" ht="12.75">
      <c r="B957" s="113"/>
      <c r="C957" s="113"/>
      <c r="D957" s="113"/>
      <c r="E957" s="113"/>
      <c r="F957" s="113"/>
      <c r="G957" s="113"/>
      <c r="H957" s="113"/>
    </row>
    <row r="958" spans="2:8" ht="12.75">
      <c r="B958" s="113"/>
      <c r="C958" s="113"/>
      <c r="D958" s="113"/>
      <c r="E958" s="113"/>
      <c r="F958" s="113"/>
      <c r="G958" s="113"/>
      <c r="H958" s="113"/>
    </row>
    <row r="959" spans="2:8" ht="12.75">
      <c r="B959" s="113"/>
      <c r="C959" s="113"/>
      <c r="D959" s="113"/>
      <c r="E959" s="113"/>
      <c r="F959" s="113"/>
      <c r="G959" s="113"/>
      <c r="H959" s="113"/>
    </row>
    <row r="960" spans="2:8" ht="12.75">
      <c r="B960" s="113"/>
      <c r="C960" s="113"/>
      <c r="D960" s="113"/>
      <c r="E960" s="113"/>
      <c r="F960" s="113"/>
      <c r="G960" s="113"/>
      <c r="H960" s="113"/>
    </row>
    <row r="961" spans="2:8" ht="12.75">
      <c r="B961" s="113"/>
      <c r="C961" s="113"/>
      <c r="D961" s="113"/>
      <c r="E961" s="113"/>
      <c r="F961" s="113"/>
      <c r="G961" s="113"/>
      <c r="H961" s="113"/>
    </row>
    <row r="962" spans="2:8" ht="12.75">
      <c r="B962" s="113"/>
      <c r="C962" s="113"/>
      <c r="D962" s="113"/>
      <c r="E962" s="113"/>
      <c r="F962" s="113"/>
      <c r="G962" s="113"/>
      <c r="H962" s="113"/>
    </row>
    <row r="963" spans="2:8" ht="12.75">
      <c r="B963" s="113"/>
      <c r="C963" s="113"/>
      <c r="D963" s="113"/>
      <c r="E963" s="113"/>
      <c r="F963" s="113"/>
      <c r="G963" s="113"/>
      <c r="H963" s="113"/>
    </row>
    <row r="964" spans="2:8" ht="12.75">
      <c r="B964" s="113"/>
      <c r="C964" s="113"/>
      <c r="D964" s="113"/>
      <c r="E964" s="113"/>
      <c r="F964" s="113"/>
      <c r="G964" s="113"/>
      <c r="H964" s="113"/>
    </row>
    <row r="965" spans="2:8" ht="12.75">
      <c r="B965" s="113"/>
      <c r="C965" s="113"/>
      <c r="D965" s="113"/>
      <c r="E965" s="113"/>
      <c r="F965" s="113"/>
      <c r="G965" s="113"/>
      <c r="H965" s="113"/>
    </row>
    <row r="966" spans="2:8" ht="12.75">
      <c r="B966" s="113"/>
      <c r="C966" s="113"/>
      <c r="D966" s="113"/>
      <c r="E966" s="113"/>
      <c r="F966" s="113"/>
      <c r="G966" s="113"/>
      <c r="H966" s="113"/>
    </row>
    <row r="967" spans="2:8" ht="12.75">
      <c r="B967" s="113"/>
      <c r="C967" s="113"/>
      <c r="D967" s="113"/>
      <c r="E967" s="113"/>
      <c r="F967" s="113"/>
      <c r="G967" s="113"/>
      <c r="H967" s="113"/>
    </row>
    <row r="968" spans="2:8" ht="12.75">
      <c r="B968" s="113"/>
      <c r="C968" s="113"/>
      <c r="D968" s="113"/>
      <c r="E968" s="113"/>
      <c r="F968" s="113"/>
      <c r="G968" s="113"/>
      <c r="H968" s="113"/>
    </row>
    <row r="969" spans="2:8" ht="12.75">
      <c r="B969" s="113"/>
      <c r="C969" s="113"/>
      <c r="D969" s="113"/>
      <c r="E969" s="113"/>
      <c r="F969" s="113"/>
      <c r="G969" s="113"/>
      <c r="H969" s="113"/>
    </row>
    <row r="970" spans="2:8" ht="12.75">
      <c r="B970" s="113"/>
      <c r="C970" s="113"/>
      <c r="D970" s="113"/>
      <c r="E970" s="113"/>
      <c r="F970" s="113"/>
      <c r="G970" s="113"/>
      <c r="H970" s="113"/>
    </row>
    <row r="971" spans="2:8" ht="12.75">
      <c r="B971" s="113"/>
      <c r="C971" s="113"/>
      <c r="D971" s="113"/>
      <c r="E971" s="113"/>
      <c r="F971" s="113"/>
      <c r="G971" s="113"/>
      <c r="H971" s="113"/>
    </row>
    <row r="972" spans="2:8" ht="12.75">
      <c r="B972" s="113"/>
      <c r="C972" s="113"/>
      <c r="D972" s="113"/>
      <c r="E972" s="113"/>
      <c r="F972" s="113"/>
      <c r="G972" s="113"/>
      <c r="H972" s="113"/>
    </row>
    <row r="973" spans="2:8" ht="12.75">
      <c r="B973" s="113"/>
      <c r="C973" s="113"/>
      <c r="D973" s="113"/>
      <c r="E973" s="113"/>
      <c r="F973" s="113"/>
      <c r="G973" s="113"/>
      <c r="H973" s="113"/>
    </row>
    <row r="974" spans="2:8" ht="12.75">
      <c r="B974" s="113"/>
      <c r="C974" s="113"/>
      <c r="D974" s="113"/>
      <c r="E974" s="113"/>
      <c r="F974" s="113"/>
      <c r="G974" s="113"/>
      <c r="H974" s="113"/>
    </row>
    <row r="975" spans="2:8" ht="12.75">
      <c r="B975" s="113"/>
      <c r="C975" s="113"/>
      <c r="D975" s="113"/>
      <c r="E975" s="113"/>
      <c r="F975" s="113"/>
      <c r="G975" s="113"/>
      <c r="H975" s="113"/>
    </row>
    <row r="976" spans="2:8" ht="12.75">
      <c r="B976" s="113"/>
      <c r="C976" s="113"/>
      <c r="D976" s="113"/>
      <c r="E976" s="113"/>
      <c r="F976" s="113"/>
      <c r="G976" s="113"/>
      <c r="H976" s="113"/>
    </row>
    <row r="977" spans="2:8" ht="12.75">
      <c r="B977" s="113"/>
      <c r="C977" s="113"/>
      <c r="D977" s="113"/>
      <c r="E977" s="113"/>
      <c r="F977" s="113"/>
      <c r="G977" s="113"/>
      <c r="H977" s="113"/>
    </row>
    <row r="978" spans="2:8" ht="12.75">
      <c r="B978" s="113"/>
      <c r="C978" s="113"/>
      <c r="D978" s="113"/>
      <c r="E978" s="113"/>
      <c r="F978" s="113"/>
      <c r="G978" s="113"/>
      <c r="H978" s="113"/>
    </row>
    <row r="979" spans="2:8" ht="12.75">
      <c r="B979" s="113"/>
      <c r="C979" s="113"/>
      <c r="D979" s="113"/>
      <c r="E979" s="113"/>
      <c r="F979" s="113"/>
      <c r="G979" s="113"/>
      <c r="H979" s="113"/>
    </row>
    <row r="980" spans="2:8" ht="12.75">
      <c r="B980" s="113"/>
      <c r="C980" s="113"/>
      <c r="D980" s="113"/>
      <c r="E980" s="113"/>
      <c r="F980" s="113"/>
      <c r="G980" s="113"/>
      <c r="H980" s="113"/>
    </row>
    <row r="981" spans="2:8" ht="12.75">
      <c r="B981" s="113"/>
      <c r="C981" s="113"/>
      <c r="D981" s="113"/>
      <c r="E981" s="113"/>
      <c r="F981" s="113"/>
      <c r="G981" s="113"/>
      <c r="H981" s="113"/>
    </row>
    <row r="982" spans="2:8" ht="12.75">
      <c r="B982" s="113"/>
      <c r="C982" s="113"/>
      <c r="D982" s="113"/>
      <c r="E982" s="113"/>
      <c r="F982" s="113"/>
      <c r="G982" s="113"/>
      <c r="H982" s="113"/>
    </row>
    <row r="983" spans="2:8" ht="12.75">
      <c r="B983" s="113"/>
      <c r="C983" s="113"/>
      <c r="D983" s="113"/>
      <c r="E983" s="113"/>
      <c r="F983" s="113"/>
      <c r="G983" s="113"/>
      <c r="H983" s="113"/>
    </row>
    <row r="984" spans="2:8" ht="12.75">
      <c r="B984" s="113"/>
      <c r="C984" s="113"/>
      <c r="D984" s="113"/>
      <c r="E984" s="113"/>
      <c r="F984" s="113"/>
      <c r="G984" s="113"/>
      <c r="H984" s="113"/>
    </row>
    <row r="985" spans="2:8" ht="12.75">
      <c r="B985" s="113"/>
      <c r="C985" s="113"/>
      <c r="D985" s="113"/>
      <c r="E985" s="113"/>
      <c r="F985" s="113"/>
      <c r="G985" s="113"/>
      <c r="H985" s="113"/>
    </row>
    <row r="986" spans="2:8" ht="12.75">
      <c r="B986" s="113"/>
      <c r="C986" s="113"/>
      <c r="D986" s="113"/>
      <c r="E986" s="113"/>
      <c r="F986" s="113"/>
      <c r="G986" s="113"/>
      <c r="H986" s="113"/>
    </row>
    <row r="987" spans="2:8" ht="12.75">
      <c r="B987" s="113"/>
      <c r="C987" s="113"/>
      <c r="D987" s="113"/>
      <c r="E987" s="113"/>
      <c r="F987" s="113"/>
      <c r="G987" s="113"/>
      <c r="H987" s="113"/>
    </row>
    <row r="988" spans="2:8" ht="12.75">
      <c r="B988" s="113"/>
      <c r="C988" s="113"/>
      <c r="D988" s="113"/>
      <c r="E988" s="113"/>
      <c r="F988" s="113"/>
      <c r="G988" s="113"/>
      <c r="H988" s="113"/>
    </row>
    <row r="989" spans="2:8" ht="12.75">
      <c r="B989" s="113"/>
      <c r="C989" s="113"/>
      <c r="D989" s="113"/>
      <c r="E989" s="113"/>
      <c r="F989" s="113"/>
      <c r="G989" s="113"/>
      <c r="H989" s="113"/>
    </row>
    <row r="990" spans="2:8" ht="12.75">
      <c r="B990" s="113"/>
      <c r="C990" s="113"/>
      <c r="D990" s="113"/>
      <c r="E990" s="113"/>
      <c r="F990" s="113"/>
      <c r="G990" s="113"/>
      <c r="H990" s="113"/>
    </row>
    <row r="991" spans="2:8" ht="12.75">
      <c r="B991" s="113"/>
      <c r="C991" s="113"/>
      <c r="D991" s="113"/>
      <c r="E991" s="113"/>
      <c r="F991" s="113"/>
      <c r="G991" s="113"/>
      <c r="H991" s="113"/>
    </row>
    <row r="992" spans="2:8" ht="12.75">
      <c r="B992" s="113"/>
      <c r="C992" s="113"/>
      <c r="D992" s="113"/>
      <c r="E992" s="113"/>
      <c r="F992" s="113"/>
      <c r="G992" s="113"/>
      <c r="H992" s="113"/>
    </row>
    <row r="993" spans="2:8" ht="12.75">
      <c r="B993" s="113"/>
      <c r="C993" s="113"/>
      <c r="D993" s="113"/>
      <c r="E993" s="113"/>
      <c r="F993" s="113"/>
      <c r="G993" s="113"/>
      <c r="H993" s="113"/>
    </row>
    <row r="994" spans="2:8" ht="12.75">
      <c r="B994" s="113"/>
      <c r="C994" s="113"/>
      <c r="D994" s="113"/>
      <c r="E994" s="113"/>
      <c r="F994" s="113"/>
      <c r="G994" s="113"/>
      <c r="H994" s="113"/>
    </row>
    <row r="995" spans="2:8" ht="12.75">
      <c r="B995" s="113"/>
      <c r="C995" s="113"/>
      <c r="D995" s="113"/>
      <c r="E995" s="113"/>
      <c r="F995" s="113"/>
      <c r="G995" s="113"/>
      <c r="H995" s="113"/>
    </row>
    <row r="996" spans="2:8" ht="12.75">
      <c r="B996" s="113"/>
      <c r="C996" s="113"/>
      <c r="D996" s="113"/>
      <c r="E996" s="113"/>
      <c r="F996" s="113"/>
      <c r="G996" s="113"/>
      <c r="H996" s="113"/>
    </row>
    <row r="997" spans="2:8" ht="12.75">
      <c r="B997" s="113"/>
      <c r="C997" s="113"/>
      <c r="D997" s="113"/>
      <c r="E997" s="113"/>
      <c r="F997" s="113"/>
      <c r="G997" s="113"/>
      <c r="H997" s="113"/>
    </row>
    <row r="998" spans="2:8" ht="12.75">
      <c r="B998" s="113"/>
      <c r="C998" s="113"/>
      <c r="D998" s="113"/>
      <c r="E998" s="113"/>
      <c r="F998" s="113"/>
      <c r="G998" s="113"/>
      <c r="H998" s="113"/>
    </row>
    <row r="999" spans="2:8" ht="12.75">
      <c r="B999" s="113"/>
      <c r="C999" s="113"/>
      <c r="D999" s="113"/>
      <c r="E999" s="113"/>
      <c r="F999" s="113"/>
      <c r="G999" s="113"/>
      <c r="H999" s="113"/>
    </row>
    <row r="1000" spans="2:8" ht="12.75">
      <c r="B1000" s="113"/>
      <c r="C1000" s="113"/>
      <c r="D1000" s="113"/>
      <c r="E1000" s="113"/>
      <c r="F1000" s="113"/>
      <c r="G1000" s="113"/>
      <c r="H1000" s="113"/>
    </row>
    <row r="1001" spans="2:8" ht="12.75">
      <c r="B1001" s="113"/>
      <c r="C1001" s="113"/>
      <c r="D1001" s="113"/>
      <c r="E1001" s="113"/>
      <c r="F1001" s="113"/>
      <c r="G1001" s="113"/>
      <c r="H1001" s="113"/>
    </row>
    <row r="1002" spans="2:8" ht="12.75">
      <c r="B1002" s="113"/>
      <c r="C1002" s="113"/>
      <c r="D1002" s="113"/>
      <c r="E1002" s="113"/>
      <c r="F1002" s="113"/>
      <c r="G1002" s="113"/>
      <c r="H1002" s="113"/>
    </row>
    <row r="1003" spans="2:8" ht="12.75">
      <c r="B1003" s="113"/>
      <c r="C1003" s="113"/>
      <c r="D1003" s="113"/>
      <c r="E1003" s="113"/>
      <c r="F1003" s="113"/>
      <c r="G1003" s="113"/>
      <c r="H1003" s="113"/>
    </row>
    <row r="1004" spans="2:8" ht="12.75">
      <c r="B1004" s="113"/>
      <c r="C1004" s="113"/>
      <c r="D1004" s="113"/>
      <c r="E1004" s="113"/>
      <c r="F1004" s="113"/>
      <c r="G1004" s="113"/>
      <c r="H1004" s="113"/>
    </row>
    <row r="1005" spans="2:8" ht="12.75">
      <c r="B1005" s="113"/>
      <c r="C1005" s="113"/>
      <c r="D1005" s="113"/>
      <c r="E1005" s="113"/>
      <c r="F1005" s="113"/>
      <c r="G1005" s="113"/>
      <c r="H1005" s="113"/>
    </row>
    <row r="1006" spans="2:8" ht="12.75">
      <c r="B1006" s="113"/>
      <c r="C1006" s="113"/>
      <c r="D1006" s="113"/>
      <c r="E1006" s="113"/>
      <c r="F1006" s="113"/>
      <c r="G1006" s="113"/>
      <c r="H1006" s="113"/>
    </row>
    <row r="1007" spans="2:8" ht="12.75">
      <c r="B1007" s="113"/>
      <c r="C1007" s="113"/>
      <c r="D1007" s="113"/>
      <c r="E1007" s="113"/>
      <c r="F1007" s="113"/>
      <c r="G1007" s="113"/>
      <c r="H1007" s="113"/>
    </row>
    <row r="1008" spans="2:8" ht="12.75">
      <c r="B1008" s="113"/>
      <c r="C1008" s="113"/>
      <c r="D1008" s="113"/>
      <c r="E1008" s="113"/>
      <c r="F1008" s="113"/>
      <c r="G1008" s="113"/>
      <c r="H1008" s="113"/>
    </row>
    <row r="1009" spans="2:8" ht="12.75">
      <c r="B1009" s="113"/>
      <c r="C1009" s="113"/>
      <c r="D1009" s="113"/>
      <c r="E1009" s="113"/>
      <c r="F1009" s="113"/>
      <c r="G1009" s="113"/>
      <c r="H1009" s="113"/>
    </row>
    <row r="1010" spans="2:8" ht="12.75">
      <c r="B1010" s="113"/>
      <c r="C1010" s="113"/>
      <c r="D1010" s="113"/>
      <c r="E1010" s="113"/>
      <c r="F1010" s="113"/>
      <c r="G1010" s="113"/>
      <c r="H1010" s="113"/>
    </row>
    <row r="1011" spans="2:8" ht="12.75">
      <c r="B1011" s="113"/>
      <c r="C1011" s="113"/>
      <c r="D1011" s="113"/>
      <c r="E1011" s="113"/>
      <c r="F1011" s="113"/>
      <c r="G1011" s="113"/>
      <c r="H1011" s="113"/>
    </row>
    <row r="1012" spans="2:8" ht="12.75">
      <c r="B1012" s="113"/>
      <c r="C1012" s="113"/>
      <c r="D1012" s="113"/>
      <c r="E1012" s="113"/>
      <c r="F1012" s="113"/>
      <c r="G1012" s="113"/>
      <c r="H1012" s="113"/>
    </row>
    <row r="1013" spans="2:8" ht="12.75">
      <c r="B1013" s="113"/>
      <c r="C1013" s="113"/>
      <c r="D1013" s="113"/>
      <c r="E1013" s="113"/>
      <c r="F1013" s="113"/>
      <c r="G1013" s="113"/>
      <c r="H1013" s="113"/>
    </row>
    <row r="1014" spans="2:8" ht="12.75">
      <c r="B1014" s="113"/>
      <c r="C1014" s="113"/>
      <c r="D1014" s="113"/>
      <c r="E1014" s="113"/>
      <c r="F1014" s="113"/>
      <c r="G1014" s="113"/>
      <c r="H1014" s="113"/>
    </row>
    <row r="1015" spans="2:8" ht="12.75">
      <c r="B1015" s="113"/>
      <c r="C1015" s="113"/>
      <c r="D1015" s="113"/>
      <c r="E1015" s="113"/>
      <c r="F1015" s="113"/>
      <c r="G1015" s="113"/>
      <c r="H1015" s="113"/>
    </row>
    <row r="1016" spans="2:8" ht="12.75">
      <c r="B1016" s="113"/>
      <c r="C1016" s="113"/>
      <c r="D1016" s="113"/>
      <c r="E1016" s="113"/>
      <c r="F1016" s="113"/>
      <c r="G1016" s="113"/>
      <c r="H1016" s="113"/>
    </row>
    <row r="1017" spans="2:8" ht="12.75">
      <c r="B1017" s="113"/>
      <c r="C1017" s="113"/>
      <c r="D1017" s="113"/>
      <c r="E1017" s="113"/>
      <c r="F1017" s="113"/>
      <c r="G1017" s="113"/>
      <c r="H1017" s="113"/>
    </row>
    <row r="1018" spans="2:8" ht="12.75">
      <c r="B1018" s="113"/>
      <c r="C1018" s="113"/>
      <c r="D1018" s="113"/>
      <c r="E1018" s="113"/>
      <c r="F1018" s="113"/>
      <c r="G1018" s="113"/>
      <c r="H1018" s="113"/>
    </row>
    <row r="1019" spans="2:8" ht="12.75">
      <c r="B1019" s="113"/>
      <c r="C1019" s="113"/>
      <c r="D1019" s="113"/>
      <c r="E1019" s="113"/>
      <c r="F1019" s="113"/>
      <c r="G1019" s="113"/>
      <c r="H1019" s="113"/>
    </row>
    <row r="1020" spans="2:8" ht="12.75">
      <c r="B1020" s="113"/>
      <c r="C1020" s="113"/>
      <c r="D1020" s="113"/>
      <c r="E1020" s="113"/>
      <c r="F1020" s="113"/>
      <c r="G1020" s="113"/>
      <c r="H1020" s="113"/>
    </row>
    <row r="1021" spans="2:8" ht="12.75">
      <c r="B1021" s="113"/>
      <c r="C1021" s="113"/>
      <c r="D1021" s="113"/>
      <c r="E1021" s="113"/>
      <c r="F1021" s="113"/>
      <c r="G1021" s="113"/>
      <c r="H1021" s="113"/>
    </row>
    <row r="1022" spans="2:8" ht="12.75">
      <c r="B1022" s="113"/>
      <c r="C1022" s="113"/>
      <c r="D1022" s="113"/>
      <c r="E1022" s="113"/>
      <c r="F1022" s="113"/>
      <c r="G1022" s="113"/>
      <c r="H1022" s="113"/>
    </row>
    <row r="1023" spans="2:8" ht="12.75">
      <c r="B1023" s="113"/>
      <c r="C1023" s="113"/>
      <c r="D1023" s="113"/>
      <c r="E1023" s="113"/>
      <c r="F1023" s="113"/>
      <c r="G1023" s="113"/>
      <c r="H1023" s="113"/>
    </row>
    <row r="1024" spans="2:8" ht="12.75">
      <c r="B1024" s="113"/>
      <c r="C1024" s="113"/>
      <c r="D1024" s="113"/>
      <c r="E1024" s="113"/>
      <c r="F1024" s="113"/>
      <c r="G1024" s="113"/>
      <c r="H1024" s="113"/>
    </row>
    <row r="1025" spans="2:8" ht="12.75">
      <c r="B1025" s="113"/>
      <c r="C1025" s="113"/>
      <c r="D1025" s="113"/>
      <c r="E1025" s="113"/>
      <c r="F1025" s="113"/>
      <c r="G1025" s="113"/>
      <c r="H1025" s="113"/>
    </row>
    <row r="1026" spans="2:8" ht="12.75">
      <c r="B1026" s="113"/>
      <c r="C1026" s="113"/>
      <c r="D1026" s="113"/>
      <c r="E1026" s="113"/>
      <c r="F1026" s="113"/>
      <c r="G1026" s="113"/>
      <c r="H1026" s="113"/>
    </row>
    <row r="1027" spans="2:8" ht="12.75">
      <c r="B1027" s="113"/>
      <c r="C1027" s="113"/>
      <c r="D1027" s="113"/>
      <c r="E1027" s="113"/>
      <c r="F1027" s="113"/>
      <c r="G1027" s="113"/>
      <c r="H1027" s="113"/>
    </row>
    <row r="1028" spans="2:8" ht="12.75">
      <c r="B1028" s="113"/>
      <c r="C1028" s="113"/>
      <c r="D1028" s="113"/>
      <c r="E1028" s="113"/>
      <c r="F1028" s="113"/>
      <c r="G1028" s="113"/>
      <c r="H1028" s="113"/>
    </row>
    <row r="1029" spans="2:8" ht="12.75">
      <c r="B1029" s="113"/>
      <c r="C1029" s="113"/>
      <c r="D1029" s="113"/>
      <c r="E1029" s="113"/>
      <c r="F1029" s="113"/>
      <c r="G1029" s="113"/>
      <c r="H1029" s="113"/>
    </row>
    <row r="1030" spans="2:8" ht="12.75">
      <c r="B1030" s="113"/>
      <c r="C1030" s="113"/>
      <c r="D1030" s="113"/>
      <c r="E1030" s="113"/>
      <c r="F1030" s="113"/>
      <c r="G1030" s="113"/>
      <c r="H1030" s="113"/>
    </row>
    <row r="1031" spans="2:8" ht="12.75">
      <c r="B1031" s="113"/>
      <c r="C1031" s="113"/>
      <c r="D1031" s="113"/>
      <c r="E1031" s="113"/>
      <c r="F1031" s="113"/>
      <c r="G1031" s="113"/>
      <c r="H1031" s="113"/>
    </row>
    <row r="1032" spans="2:8" ht="12.75">
      <c r="B1032" s="113"/>
      <c r="C1032" s="113"/>
      <c r="D1032" s="113"/>
      <c r="E1032" s="113"/>
      <c r="F1032" s="113"/>
      <c r="G1032" s="113"/>
      <c r="H1032" s="113"/>
    </row>
    <row r="1033" spans="2:8" ht="12.75">
      <c r="B1033" s="113"/>
      <c r="C1033" s="113"/>
      <c r="D1033" s="113"/>
      <c r="E1033" s="113"/>
      <c r="F1033" s="113"/>
      <c r="G1033" s="113"/>
      <c r="H1033" s="113"/>
    </row>
    <row r="1034" spans="2:8" ht="12.75">
      <c r="B1034" s="113"/>
      <c r="C1034" s="113"/>
      <c r="D1034" s="113"/>
      <c r="E1034" s="113"/>
      <c r="F1034" s="113"/>
      <c r="G1034" s="113"/>
      <c r="H1034" s="113"/>
    </row>
    <row r="1035" spans="2:8" ht="12.75">
      <c r="B1035" s="113"/>
      <c r="C1035" s="113"/>
      <c r="D1035" s="113"/>
      <c r="E1035" s="113"/>
      <c r="F1035" s="113"/>
      <c r="G1035" s="113"/>
      <c r="H1035" s="113"/>
    </row>
    <row r="1036" spans="2:8" ht="12.75">
      <c r="B1036" s="113"/>
      <c r="C1036" s="113"/>
      <c r="D1036" s="113"/>
      <c r="E1036" s="113"/>
      <c r="F1036" s="113"/>
      <c r="G1036" s="113"/>
      <c r="H1036" s="113"/>
    </row>
    <row r="1037" spans="2:8" ht="12.75">
      <c r="B1037" s="113"/>
      <c r="C1037" s="113"/>
      <c r="D1037" s="113"/>
      <c r="E1037" s="113"/>
      <c r="F1037" s="113"/>
      <c r="G1037" s="113"/>
      <c r="H1037" s="113"/>
    </row>
    <row r="1038" spans="2:8" ht="12.75">
      <c r="B1038" s="113"/>
      <c r="C1038" s="113"/>
      <c r="D1038" s="113"/>
      <c r="E1038" s="113"/>
      <c r="F1038" s="113"/>
      <c r="G1038" s="113"/>
      <c r="H1038" s="113"/>
    </row>
    <row r="1039" spans="2:8" ht="12.75">
      <c r="B1039" s="113"/>
      <c r="C1039" s="113"/>
      <c r="D1039" s="113"/>
      <c r="E1039" s="113"/>
      <c r="F1039" s="113"/>
      <c r="G1039" s="113"/>
      <c r="H1039" s="113"/>
    </row>
    <row r="1040" spans="2:8" ht="12.75">
      <c r="B1040" s="113"/>
      <c r="C1040" s="113"/>
      <c r="D1040" s="113"/>
      <c r="E1040" s="113"/>
      <c r="F1040" s="113"/>
      <c r="G1040" s="113"/>
      <c r="H1040" s="113"/>
    </row>
    <row r="1041" spans="2:8" ht="12.75">
      <c r="B1041" s="113"/>
      <c r="C1041" s="113"/>
      <c r="D1041" s="113"/>
      <c r="E1041" s="113"/>
      <c r="F1041" s="113"/>
      <c r="G1041" s="113"/>
      <c r="H1041" s="113"/>
    </row>
    <row r="1042" spans="2:8" ht="12.75">
      <c r="B1042" s="113"/>
      <c r="C1042" s="113"/>
      <c r="D1042" s="113"/>
      <c r="E1042" s="113"/>
      <c r="F1042" s="113"/>
      <c r="G1042" s="113"/>
      <c r="H1042" s="113"/>
    </row>
    <row r="1043" spans="2:8" ht="12.75">
      <c r="B1043" s="113"/>
      <c r="C1043" s="113"/>
      <c r="D1043" s="113"/>
      <c r="E1043" s="113"/>
      <c r="F1043" s="113"/>
      <c r="G1043" s="113"/>
      <c r="H1043" s="113"/>
    </row>
    <row r="1044" spans="2:8" ht="12.75">
      <c r="B1044" s="113"/>
      <c r="C1044" s="113"/>
      <c r="D1044" s="113"/>
      <c r="E1044" s="113"/>
      <c r="F1044" s="113"/>
      <c r="G1044" s="113"/>
      <c r="H1044" s="113"/>
    </row>
    <row r="1045" spans="2:8" ht="12.75">
      <c r="B1045" s="113"/>
      <c r="C1045" s="113"/>
      <c r="D1045" s="113"/>
      <c r="E1045" s="113"/>
      <c r="F1045" s="113"/>
      <c r="G1045" s="113"/>
      <c r="H1045" s="113"/>
    </row>
    <row r="1046" spans="2:8" ht="12.75">
      <c r="B1046" s="113"/>
      <c r="C1046" s="113"/>
      <c r="D1046" s="113"/>
      <c r="E1046" s="113"/>
      <c r="F1046" s="113"/>
      <c r="G1046" s="113"/>
      <c r="H1046" s="113"/>
    </row>
    <row r="1047" spans="2:8" ht="12.75">
      <c r="B1047" s="113"/>
      <c r="C1047" s="113"/>
      <c r="D1047" s="113"/>
      <c r="E1047" s="113"/>
      <c r="F1047" s="113"/>
      <c r="G1047" s="113"/>
      <c r="H1047" s="113"/>
    </row>
    <row r="1048" spans="2:8" ht="12.75">
      <c r="B1048" s="113"/>
      <c r="C1048" s="113"/>
      <c r="D1048" s="113"/>
      <c r="E1048" s="113"/>
      <c r="F1048" s="113"/>
      <c r="G1048" s="113"/>
      <c r="H1048" s="113"/>
    </row>
    <row r="1049" spans="2:8" ht="12.75">
      <c r="B1049" s="113"/>
      <c r="C1049" s="113"/>
      <c r="D1049" s="113"/>
      <c r="E1049" s="113"/>
      <c r="F1049" s="113"/>
      <c r="G1049" s="113"/>
      <c r="H1049" s="113"/>
    </row>
    <row r="1050" spans="2:8" ht="12.75">
      <c r="B1050" s="113"/>
      <c r="C1050" s="113"/>
      <c r="D1050" s="113"/>
      <c r="E1050" s="113"/>
      <c r="F1050" s="113"/>
      <c r="G1050" s="113"/>
      <c r="H1050" s="113"/>
    </row>
    <row r="1051" spans="2:8" ht="12.75">
      <c r="B1051" s="113"/>
      <c r="C1051" s="113"/>
      <c r="D1051" s="113"/>
      <c r="E1051" s="113"/>
      <c r="F1051" s="113"/>
      <c r="G1051" s="113"/>
      <c r="H1051" s="113"/>
    </row>
    <row r="1052" spans="2:8" ht="12.75">
      <c r="B1052" s="113"/>
      <c r="C1052" s="113"/>
      <c r="D1052" s="113"/>
      <c r="E1052" s="113"/>
      <c r="F1052" s="113"/>
      <c r="G1052" s="113"/>
      <c r="H1052" s="113"/>
    </row>
    <row r="1053" spans="2:8" ht="12.75">
      <c r="B1053" s="113"/>
      <c r="C1053" s="113"/>
      <c r="D1053" s="113"/>
      <c r="E1053" s="113"/>
      <c r="F1053" s="113"/>
      <c r="G1053" s="113"/>
      <c r="H1053" s="113"/>
    </row>
    <row r="1054" spans="2:8" ht="12.75">
      <c r="B1054" s="113"/>
      <c r="C1054" s="113"/>
      <c r="D1054" s="113"/>
      <c r="E1054" s="113"/>
      <c r="F1054" s="113"/>
      <c r="G1054" s="113"/>
      <c r="H1054" s="113"/>
    </row>
    <row r="1055" spans="2:8" ht="12.75">
      <c r="B1055" s="113"/>
      <c r="C1055" s="113"/>
      <c r="D1055" s="113"/>
      <c r="E1055" s="113"/>
      <c r="F1055" s="113"/>
      <c r="G1055" s="113"/>
      <c r="H1055" s="113"/>
    </row>
    <row r="1056" spans="2:8" ht="12.75">
      <c r="B1056" s="113"/>
      <c r="C1056" s="113"/>
      <c r="D1056" s="113"/>
      <c r="E1056" s="113"/>
      <c r="F1056" s="113"/>
      <c r="G1056" s="113"/>
      <c r="H1056" s="113"/>
    </row>
    <row r="1057" spans="2:8" ht="12.75">
      <c r="B1057" s="113"/>
      <c r="C1057" s="113"/>
      <c r="D1057" s="113"/>
      <c r="E1057" s="113"/>
      <c r="F1057" s="113"/>
      <c r="G1057" s="113"/>
      <c r="H1057" s="113"/>
    </row>
    <row r="1058" spans="2:8" ht="12.75">
      <c r="B1058" s="113"/>
      <c r="C1058" s="113"/>
      <c r="D1058" s="113"/>
      <c r="E1058" s="113"/>
      <c r="F1058" s="113"/>
      <c r="G1058" s="113"/>
      <c r="H1058" s="113"/>
    </row>
    <row r="1059" spans="2:8" ht="12.75">
      <c r="B1059" s="113"/>
      <c r="C1059" s="113"/>
      <c r="D1059" s="113"/>
      <c r="E1059" s="113"/>
      <c r="F1059" s="113"/>
      <c r="G1059" s="113"/>
      <c r="H1059" s="113"/>
    </row>
    <row r="1060" spans="2:8" ht="12.75">
      <c r="B1060" s="113"/>
      <c r="C1060" s="113"/>
      <c r="D1060" s="113"/>
      <c r="E1060" s="113"/>
      <c r="F1060" s="113"/>
      <c r="G1060" s="113"/>
      <c r="H1060" s="113"/>
    </row>
    <row r="1061" spans="2:8" ht="12.75">
      <c r="B1061" s="113"/>
      <c r="C1061" s="113"/>
      <c r="D1061" s="113"/>
      <c r="E1061" s="113"/>
      <c r="F1061" s="113"/>
      <c r="G1061" s="113"/>
      <c r="H1061" s="113"/>
    </row>
    <row r="1062" spans="2:8" ht="12.75">
      <c r="B1062" s="113"/>
      <c r="C1062" s="113"/>
      <c r="D1062" s="113"/>
      <c r="E1062" s="113"/>
      <c r="F1062" s="113"/>
      <c r="G1062" s="113"/>
      <c r="H1062" s="113"/>
    </row>
    <row r="1063" spans="2:8" ht="12.75">
      <c r="B1063" s="113"/>
      <c r="C1063" s="113"/>
      <c r="D1063" s="113"/>
      <c r="E1063" s="113"/>
      <c r="F1063" s="113"/>
      <c r="G1063" s="113"/>
      <c r="H1063" s="113"/>
    </row>
    <row r="1064" spans="2:8" ht="12.75">
      <c r="B1064" s="113"/>
      <c r="C1064" s="113"/>
      <c r="D1064" s="113"/>
      <c r="E1064" s="113"/>
      <c r="F1064" s="113"/>
      <c r="G1064" s="113"/>
      <c r="H1064" s="113"/>
    </row>
    <row r="1065" spans="2:8" ht="12.75">
      <c r="B1065" s="113"/>
      <c r="C1065" s="113"/>
      <c r="D1065" s="113"/>
      <c r="E1065" s="113"/>
      <c r="F1065" s="113"/>
      <c r="G1065" s="113"/>
      <c r="H1065" s="113"/>
    </row>
    <row r="1066" spans="2:8" ht="12.75">
      <c r="B1066" s="113"/>
      <c r="C1066" s="113"/>
      <c r="D1066" s="113"/>
      <c r="E1066" s="113"/>
      <c r="F1066" s="113"/>
      <c r="G1066" s="113"/>
      <c r="H1066" s="113"/>
    </row>
    <row r="1067" spans="2:8" ht="12.75">
      <c r="B1067" s="113"/>
      <c r="C1067" s="113"/>
      <c r="D1067" s="113"/>
      <c r="E1067" s="113"/>
      <c r="F1067" s="113"/>
      <c r="G1067" s="113"/>
      <c r="H1067" s="113"/>
    </row>
    <row r="1068" spans="2:8" ht="12.75">
      <c r="B1068" s="113"/>
      <c r="C1068" s="113"/>
      <c r="D1068" s="113"/>
      <c r="E1068" s="113"/>
      <c r="F1068" s="113"/>
      <c r="G1068" s="113"/>
      <c r="H1068" s="113"/>
    </row>
    <row r="1069" spans="2:8" ht="12.75">
      <c r="B1069" s="113"/>
      <c r="C1069" s="113"/>
      <c r="D1069" s="113"/>
      <c r="E1069" s="113"/>
      <c r="F1069" s="113"/>
      <c r="G1069" s="113"/>
      <c r="H1069" s="113"/>
    </row>
    <row r="1070" spans="2:8" ht="12.75">
      <c r="B1070" s="113"/>
      <c r="C1070" s="113"/>
      <c r="D1070" s="113"/>
      <c r="E1070" s="113"/>
      <c r="F1070" s="113"/>
      <c r="G1070" s="113"/>
      <c r="H1070" s="113"/>
    </row>
    <row r="1071" spans="2:8" ht="12.75">
      <c r="B1071" s="113"/>
      <c r="C1071" s="113"/>
      <c r="D1071" s="113"/>
      <c r="E1071" s="113"/>
      <c r="F1071" s="113"/>
      <c r="G1071" s="113"/>
      <c r="H1071" s="113"/>
    </row>
    <row r="1072" spans="2:8" ht="12.75">
      <c r="B1072" s="113"/>
      <c r="C1072" s="113"/>
      <c r="D1072" s="113"/>
      <c r="E1072" s="113"/>
      <c r="F1072" s="113"/>
      <c r="G1072" s="113"/>
      <c r="H1072" s="113"/>
    </row>
    <row r="1073" spans="2:8" ht="12.75">
      <c r="B1073" s="113"/>
      <c r="C1073" s="113"/>
      <c r="D1073" s="113"/>
      <c r="E1073" s="113"/>
      <c r="F1073" s="113"/>
      <c r="G1073" s="113"/>
      <c r="H1073" s="113"/>
    </row>
    <row r="1074" spans="2:8" ht="12.75">
      <c r="B1074" s="113"/>
      <c r="C1074" s="113"/>
      <c r="D1074" s="113"/>
      <c r="E1074" s="113"/>
      <c r="F1074" s="113"/>
      <c r="G1074" s="113"/>
      <c r="H1074" s="113"/>
    </row>
    <row r="1075" spans="2:8" ht="12.75">
      <c r="B1075" s="113"/>
      <c r="C1075" s="113"/>
      <c r="D1075" s="113"/>
      <c r="E1075" s="113"/>
      <c r="F1075" s="113"/>
      <c r="G1075" s="113"/>
      <c r="H1075" s="113"/>
    </row>
    <row r="1076" spans="2:8" ht="12.75">
      <c r="B1076" s="113"/>
      <c r="C1076" s="113"/>
      <c r="D1076" s="113"/>
      <c r="E1076" s="113"/>
      <c r="F1076" s="113"/>
      <c r="G1076" s="113"/>
      <c r="H1076" s="113"/>
    </row>
    <row r="1077" spans="2:8" ht="12.75">
      <c r="B1077" s="113"/>
      <c r="C1077" s="113"/>
      <c r="D1077" s="113"/>
      <c r="E1077" s="113"/>
      <c r="F1077" s="113"/>
      <c r="G1077" s="113"/>
      <c r="H1077" s="113"/>
    </row>
    <row r="1078" spans="2:8" ht="12.75">
      <c r="B1078" s="113"/>
      <c r="C1078" s="113"/>
      <c r="D1078" s="113"/>
      <c r="E1078" s="113"/>
      <c r="F1078" s="113"/>
      <c r="G1078" s="113"/>
      <c r="H1078" s="113"/>
    </row>
    <row r="1079" spans="2:8" ht="12.75">
      <c r="B1079" s="113"/>
      <c r="C1079" s="113"/>
      <c r="D1079" s="113"/>
      <c r="E1079" s="113"/>
      <c r="F1079" s="113"/>
      <c r="G1079" s="113"/>
      <c r="H1079" s="113"/>
    </row>
    <row r="1080" spans="2:8" ht="12.75">
      <c r="B1080" s="113"/>
      <c r="C1080" s="113"/>
      <c r="D1080" s="113"/>
      <c r="E1080" s="113"/>
      <c r="F1080" s="113"/>
      <c r="G1080" s="113"/>
      <c r="H1080" s="113"/>
    </row>
    <row r="1081" spans="2:8" ht="12.75">
      <c r="B1081" s="113"/>
      <c r="C1081" s="113"/>
      <c r="D1081" s="113"/>
      <c r="E1081" s="113"/>
      <c r="F1081" s="113"/>
      <c r="G1081" s="113"/>
      <c r="H1081" s="113"/>
    </row>
    <row r="1082" spans="2:8" ht="12.75">
      <c r="B1082" s="113"/>
      <c r="C1082" s="113"/>
      <c r="D1082" s="113"/>
      <c r="E1082" s="113"/>
      <c r="F1082" s="113"/>
      <c r="G1082" s="113"/>
      <c r="H1082" s="113"/>
    </row>
    <row r="1083" spans="2:8" ht="12.75">
      <c r="B1083" s="113"/>
      <c r="C1083" s="113"/>
      <c r="D1083" s="113"/>
      <c r="E1083" s="113"/>
      <c r="F1083" s="113"/>
      <c r="G1083" s="113"/>
      <c r="H1083" s="113"/>
    </row>
    <row r="1084" spans="2:8" ht="12.75">
      <c r="B1084" s="113"/>
      <c r="C1084" s="113"/>
      <c r="D1084" s="113"/>
      <c r="E1084" s="113"/>
      <c r="F1084" s="113"/>
      <c r="G1084" s="113"/>
      <c r="H1084" s="113"/>
    </row>
    <row r="1085" spans="2:8" ht="12.75">
      <c r="B1085" s="113"/>
      <c r="C1085" s="113"/>
      <c r="D1085" s="113"/>
      <c r="E1085" s="113"/>
      <c r="F1085" s="113"/>
      <c r="G1085" s="113"/>
      <c r="H1085" s="113"/>
    </row>
    <row r="1086" spans="2:8" ht="12.75">
      <c r="B1086" s="113"/>
      <c r="C1086" s="113"/>
      <c r="D1086" s="113"/>
      <c r="E1086" s="113"/>
      <c r="F1086" s="113"/>
      <c r="G1086" s="113"/>
      <c r="H1086" s="113"/>
    </row>
    <row r="1087" spans="2:8" ht="12.75">
      <c r="B1087" s="113"/>
      <c r="C1087" s="113"/>
      <c r="D1087" s="113"/>
      <c r="E1087" s="113"/>
      <c r="F1087" s="113"/>
      <c r="G1087" s="113"/>
      <c r="H1087" s="113"/>
    </row>
    <row r="1088" spans="2:8" ht="12.75">
      <c r="B1088" s="113"/>
      <c r="C1088" s="113"/>
      <c r="D1088" s="113"/>
      <c r="E1088" s="113"/>
      <c r="F1088" s="113"/>
      <c r="G1088" s="113"/>
      <c r="H1088" s="113"/>
    </row>
    <row r="1089" spans="2:8" ht="12.75">
      <c r="B1089" s="113"/>
      <c r="C1089" s="113"/>
      <c r="D1089" s="113"/>
      <c r="E1089" s="113"/>
      <c r="F1089" s="113"/>
      <c r="G1089" s="113"/>
      <c r="H1089" s="113"/>
    </row>
    <row r="1090" spans="2:8" ht="12.75">
      <c r="B1090" s="113"/>
      <c r="C1090" s="113"/>
      <c r="D1090" s="113"/>
      <c r="E1090" s="113"/>
      <c r="F1090" s="113"/>
      <c r="G1090" s="113"/>
      <c r="H1090" s="113"/>
    </row>
    <row r="1091" spans="2:8" ht="12.75">
      <c r="B1091" s="113"/>
      <c r="C1091" s="113"/>
      <c r="D1091" s="113"/>
      <c r="E1091" s="113"/>
      <c r="F1091" s="113"/>
      <c r="G1091" s="113"/>
      <c r="H1091" s="113"/>
    </row>
    <row r="1092" spans="2:8" ht="12.75">
      <c r="B1092" s="113"/>
      <c r="C1092" s="113"/>
      <c r="D1092" s="113"/>
      <c r="E1092" s="113"/>
      <c r="F1092" s="113"/>
      <c r="G1092" s="113"/>
      <c r="H1092" s="113"/>
    </row>
    <row r="1093" spans="2:8" ht="12.75">
      <c r="B1093" s="113"/>
      <c r="C1093" s="113"/>
      <c r="D1093" s="113"/>
      <c r="E1093" s="113"/>
      <c r="F1093" s="113"/>
      <c r="G1093" s="113"/>
      <c r="H1093" s="113"/>
    </row>
    <row r="1094" spans="2:8" ht="12.75">
      <c r="B1094" s="113"/>
      <c r="C1094" s="113"/>
      <c r="D1094" s="113"/>
      <c r="E1094" s="113"/>
      <c r="F1094" s="113"/>
      <c r="G1094" s="113"/>
      <c r="H1094" s="113"/>
    </row>
    <row r="1095" spans="2:8" ht="12.75">
      <c r="B1095" s="113"/>
      <c r="C1095" s="113"/>
      <c r="D1095" s="113"/>
      <c r="E1095" s="113"/>
      <c r="F1095" s="113"/>
      <c r="G1095" s="113"/>
      <c r="H1095" s="113"/>
    </row>
    <row r="1096" spans="2:8" ht="12.75">
      <c r="B1096" s="113"/>
      <c r="C1096" s="113"/>
      <c r="D1096" s="113"/>
      <c r="E1096" s="113"/>
      <c r="F1096" s="113"/>
      <c r="G1096" s="113"/>
      <c r="H1096" s="113"/>
    </row>
    <row r="1097" spans="2:8" ht="12.75">
      <c r="B1097" s="113"/>
      <c r="C1097" s="113"/>
      <c r="D1097" s="113"/>
      <c r="E1097" s="113"/>
      <c r="F1097" s="113"/>
      <c r="G1097" s="113"/>
      <c r="H1097" s="113"/>
    </row>
    <row r="1098" spans="2:8" ht="12.75">
      <c r="B1098" s="113"/>
      <c r="C1098" s="113"/>
      <c r="D1098" s="113"/>
      <c r="E1098" s="113"/>
      <c r="F1098" s="113"/>
      <c r="G1098" s="113"/>
      <c r="H1098" s="113"/>
    </row>
    <row r="1099" spans="2:8" ht="12.75">
      <c r="B1099" s="113"/>
      <c r="C1099" s="113"/>
      <c r="D1099" s="113"/>
      <c r="E1099" s="113"/>
      <c r="F1099" s="113"/>
      <c r="G1099" s="113"/>
      <c r="H1099" s="113"/>
    </row>
    <row r="1100" spans="2:8" ht="12.75">
      <c r="B1100" s="113"/>
      <c r="C1100" s="113"/>
      <c r="D1100" s="113"/>
      <c r="E1100" s="113"/>
      <c r="F1100" s="113"/>
      <c r="G1100" s="113"/>
      <c r="H1100" s="113"/>
    </row>
    <row r="1101" spans="2:8" ht="12.75">
      <c r="B1101" s="113"/>
      <c r="C1101" s="113"/>
      <c r="D1101" s="113"/>
      <c r="E1101" s="113"/>
      <c r="F1101" s="113"/>
      <c r="G1101" s="113"/>
      <c r="H1101" s="113"/>
    </row>
    <row r="1102" spans="2:8" ht="12.75">
      <c r="B1102" s="113"/>
      <c r="C1102" s="113"/>
      <c r="D1102" s="113"/>
      <c r="E1102" s="113"/>
      <c r="F1102" s="113"/>
      <c r="G1102" s="113"/>
      <c r="H1102" s="113"/>
    </row>
    <row r="1103" spans="2:8" ht="12.75">
      <c r="B1103" s="113"/>
      <c r="C1103" s="113"/>
      <c r="D1103" s="113"/>
      <c r="E1103" s="113"/>
      <c r="F1103" s="113"/>
      <c r="G1103" s="113"/>
      <c r="H1103" s="113"/>
    </row>
    <row r="1104" spans="2:8" ht="12.75">
      <c r="B1104" s="113"/>
      <c r="C1104" s="113"/>
      <c r="D1104" s="113"/>
      <c r="E1104" s="113"/>
      <c r="F1104" s="113"/>
      <c r="G1104" s="113"/>
      <c r="H1104" s="113"/>
    </row>
    <row r="1105" spans="2:8" ht="12.75">
      <c r="B1105" s="113"/>
      <c r="C1105" s="113"/>
      <c r="D1105" s="113"/>
      <c r="E1105" s="113"/>
      <c r="F1105" s="113"/>
      <c r="G1105" s="113"/>
      <c r="H1105" s="113"/>
    </row>
    <row r="1106" spans="2:8" ht="12.75">
      <c r="B1106" s="113"/>
      <c r="C1106" s="113"/>
      <c r="D1106" s="113"/>
      <c r="E1106" s="113"/>
      <c r="F1106" s="113"/>
      <c r="G1106" s="113"/>
      <c r="H1106" s="113"/>
    </row>
    <row r="1107" spans="2:8" ht="12.75">
      <c r="B1107" s="113"/>
      <c r="C1107" s="113"/>
      <c r="D1107" s="113"/>
      <c r="E1107" s="113"/>
      <c r="F1107" s="113"/>
      <c r="G1107" s="113"/>
      <c r="H1107" s="113"/>
    </row>
    <row r="1108" spans="2:8" ht="12.75">
      <c r="B1108" s="113"/>
      <c r="C1108" s="113"/>
      <c r="D1108" s="113"/>
      <c r="E1108" s="113"/>
      <c r="F1108" s="113"/>
      <c r="G1108" s="113"/>
      <c r="H1108" s="113"/>
    </row>
    <row r="1109" spans="2:8" ht="12.75">
      <c r="B1109" s="113"/>
      <c r="C1109" s="113"/>
      <c r="D1109" s="113"/>
      <c r="E1109" s="113"/>
      <c r="F1109" s="113"/>
      <c r="G1109" s="113"/>
      <c r="H1109" s="113"/>
    </row>
    <row r="1110" spans="2:8" ht="12.75">
      <c r="B1110" s="113"/>
      <c r="C1110" s="113"/>
      <c r="D1110" s="113"/>
      <c r="E1110" s="113"/>
      <c r="F1110" s="113"/>
      <c r="G1110" s="113"/>
      <c r="H1110" s="113"/>
    </row>
    <row r="1111" spans="2:8" ht="12.75">
      <c r="B1111" s="113"/>
      <c r="C1111" s="113"/>
      <c r="D1111" s="113"/>
      <c r="E1111" s="113"/>
      <c r="F1111" s="113"/>
      <c r="G1111" s="113"/>
      <c r="H1111" s="113"/>
    </row>
    <row r="1112" spans="2:8" ht="12.75">
      <c r="B1112" s="113"/>
      <c r="C1112" s="113"/>
      <c r="D1112" s="113"/>
      <c r="E1112" s="113"/>
      <c r="F1112" s="113"/>
      <c r="G1112" s="113"/>
      <c r="H1112" s="113"/>
    </row>
    <row r="1113" spans="2:8" ht="12.75">
      <c r="B1113" s="113"/>
      <c r="C1113" s="113"/>
      <c r="D1113" s="113"/>
      <c r="E1113" s="113"/>
      <c r="F1113" s="113"/>
      <c r="G1113" s="113"/>
      <c r="H1113" s="113"/>
    </row>
    <row r="1114" spans="2:8" ht="12.75">
      <c r="B1114" s="113"/>
      <c r="C1114" s="113"/>
      <c r="D1114" s="113"/>
      <c r="E1114" s="113"/>
      <c r="F1114" s="113"/>
      <c r="G1114" s="113"/>
      <c r="H1114" s="113"/>
    </row>
    <row r="1115" spans="2:8" ht="12.75">
      <c r="B1115" s="113"/>
      <c r="C1115" s="113"/>
      <c r="D1115" s="113"/>
      <c r="E1115" s="113"/>
      <c r="F1115" s="113"/>
      <c r="G1115" s="113"/>
      <c r="H1115" s="113"/>
    </row>
    <row r="1116" spans="2:8" ht="12.75">
      <c r="B1116" s="113"/>
      <c r="C1116" s="113"/>
      <c r="D1116" s="113"/>
      <c r="E1116" s="113"/>
      <c r="F1116" s="113"/>
      <c r="G1116" s="113"/>
      <c r="H1116" s="113"/>
    </row>
    <row r="1117" spans="2:8" ht="12.75">
      <c r="B1117" s="113"/>
      <c r="C1117" s="113"/>
      <c r="D1117" s="113"/>
      <c r="E1117" s="113"/>
      <c r="F1117" s="113"/>
      <c r="G1117" s="113"/>
      <c r="H1117" s="113"/>
    </row>
    <row r="1118" spans="2:8" ht="12.75">
      <c r="B1118" s="113"/>
      <c r="C1118" s="113"/>
      <c r="D1118" s="113"/>
      <c r="E1118" s="113"/>
      <c r="F1118" s="113"/>
      <c r="G1118" s="113"/>
      <c r="H1118" s="113"/>
    </row>
    <row r="1119" spans="2:8" ht="12.75">
      <c r="B1119" s="113"/>
      <c r="C1119" s="113"/>
      <c r="D1119" s="113"/>
      <c r="E1119" s="113"/>
      <c r="F1119" s="113"/>
      <c r="G1119" s="113"/>
      <c r="H1119" s="113"/>
    </row>
    <row r="1120" spans="2:8" ht="12.75">
      <c r="B1120" s="113"/>
      <c r="C1120" s="113"/>
      <c r="D1120" s="113"/>
      <c r="E1120" s="113"/>
      <c r="F1120" s="113"/>
      <c r="G1120" s="113"/>
      <c r="H1120" s="113"/>
    </row>
    <row r="1121" spans="2:8" ht="12.75">
      <c r="B1121" s="113"/>
      <c r="C1121" s="113"/>
      <c r="D1121" s="113"/>
      <c r="E1121" s="113"/>
      <c r="F1121" s="113"/>
      <c r="G1121" s="113"/>
      <c r="H1121" s="113"/>
    </row>
    <row r="1122" spans="2:8" ht="12.75">
      <c r="B1122" s="113"/>
      <c r="C1122" s="113"/>
      <c r="D1122" s="113"/>
      <c r="E1122" s="113"/>
      <c r="F1122" s="113"/>
      <c r="G1122" s="113"/>
      <c r="H1122" s="113"/>
    </row>
    <row r="1123" spans="2:8" ht="12.75">
      <c r="B1123" s="113"/>
      <c r="C1123" s="113"/>
      <c r="D1123" s="113"/>
      <c r="E1123" s="113"/>
      <c r="F1123" s="113"/>
      <c r="G1123" s="113"/>
      <c r="H1123" s="113"/>
    </row>
    <row r="1124" spans="2:8" ht="12.75">
      <c r="B1124" s="113"/>
      <c r="C1124" s="113"/>
      <c r="D1124" s="113"/>
      <c r="E1124" s="113"/>
      <c r="F1124" s="113"/>
      <c r="G1124" s="113"/>
      <c r="H1124" s="113"/>
    </row>
    <row r="1125" spans="2:8" ht="12.75">
      <c r="B1125" s="113"/>
      <c r="C1125" s="113"/>
      <c r="D1125" s="113"/>
      <c r="E1125" s="113"/>
      <c r="F1125" s="113"/>
      <c r="G1125" s="113"/>
      <c r="H1125" s="113"/>
    </row>
    <row r="1126" spans="2:8" ht="12.75">
      <c r="B1126" s="113"/>
      <c r="C1126" s="113"/>
      <c r="D1126" s="113"/>
      <c r="E1126" s="113"/>
      <c r="F1126" s="113"/>
      <c r="G1126" s="113"/>
      <c r="H1126" s="113"/>
    </row>
    <row r="1127" spans="2:8" ht="12.75">
      <c r="B1127" s="113"/>
      <c r="C1127" s="113"/>
      <c r="D1127" s="113"/>
      <c r="E1127" s="113"/>
      <c r="F1127" s="113"/>
      <c r="G1127" s="113"/>
      <c r="H1127" s="113"/>
    </row>
    <row r="1128" spans="2:8" ht="12.75">
      <c r="B1128" s="113"/>
      <c r="C1128" s="113"/>
      <c r="D1128" s="113"/>
      <c r="E1128" s="113"/>
      <c r="F1128" s="113"/>
      <c r="G1128" s="113"/>
      <c r="H1128" s="113"/>
    </row>
    <row r="1129" spans="2:8" ht="12.75">
      <c r="B1129" s="113"/>
      <c r="C1129" s="113"/>
      <c r="D1129" s="113"/>
      <c r="E1129" s="113"/>
      <c r="F1129" s="113"/>
      <c r="G1129" s="113"/>
      <c r="H1129" s="113"/>
    </row>
    <row r="1130" spans="2:8" ht="12.75">
      <c r="B1130" s="113"/>
      <c r="C1130" s="113"/>
      <c r="D1130" s="113"/>
      <c r="E1130" s="113"/>
      <c r="F1130" s="113"/>
      <c r="G1130" s="113"/>
      <c r="H1130" s="113"/>
    </row>
    <row r="1131" spans="2:8" ht="12.75">
      <c r="B1131" s="113"/>
      <c r="C1131" s="113"/>
      <c r="D1131" s="113"/>
      <c r="E1131" s="113"/>
      <c r="F1131" s="113"/>
      <c r="G1131" s="113"/>
      <c r="H1131" s="113"/>
    </row>
    <row r="1132" spans="2:8" ht="12.75">
      <c r="B1132" s="113"/>
      <c r="C1132" s="113"/>
      <c r="D1132" s="113"/>
      <c r="E1132" s="113"/>
      <c r="F1132" s="113"/>
      <c r="G1132" s="113"/>
      <c r="H1132" s="113"/>
    </row>
    <row r="1133" spans="2:8" ht="12.75">
      <c r="B1133" s="113"/>
      <c r="C1133" s="113"/>
      <c r="D1133" s="113"/>
      <c r="E1133" s="113"/>
      <c r="F1133" s="113"/>
      <c r="G1133" s="113"/>
      <c r="H1133" s="113"/>
    </row>
    <row r="1134" spans="2:8" ht="12.75">
      <c r="B1134" s="113"/>
      <c r="C1134" s="113"/>
      <c r="D1134" s="113"/>
      <c r="E1134" s="113"/>
      <c r="F1134" s="113"/>
      <c r="G1134" s="113"/>
      <c r="H1134" s="113"/>
    </row>
    <row r="1135" spans="2:8" ht="12.75">
      <c r="B1135" s="113"/>
      <c r="C1135" s="113"/>
      <c r="D1135" s="113"/>
      <c r="E1135" s="113"/>
      <c r="F1135" s="113"/>
      <c r="G1135" s="113"/>
      <c r="H1135" s="113"/>
    </row>
    <row r="1136" spans="2:8" ht="12.75">
      <c r="B1136" s="113"/>
      <c r="C1136" s="113"/>
      <c r="D1136" s="113"/>
      <c r="E1136" s="113"/>
      <c r="F1136" s="113"/>
      <c r="G1136" s="113"/>
      <c r="H1136" s="113"/>
    </row>
    <row r="1137" spans="2:8" ht="12.75">
      <c r="B1137" s="113"/>
      <c r="C1137" s="113"/>
      <c r="D1137" s="113"/>
      <c r="E1137" s="113"/>
      <c r="F1137" s="113"/>
      <c r="G1137" s="113"/>
      <c r="H1137" s="113"/>
    </row>
    <row r="1138" spans="2:8" ht="12.75">
      <c r="B1138" s="113"/>
      <c r="C1138" s="113"/>
      <c r="D1138" s="113"/>
      <c r="E1138" s="113"/>
      <c r="F1138" s="113"/>
      <c r="G1138" s="113"/>
      <c r="H1138" s="113"/>
    </row>
    <row r="1139" spans="2:8" ht="12.75">
      <c r="B1139" s="113"/>
      <c r="C1139" s="113"/>
      <c r="D1139" s="113"/>
      <c r="E1139" s="113"/>
      <c r="F1139" s="113"/>
      <c r="G1139" s="113"/>
      <c r="H1139" s="113"/>
    </row>
    <row r="1140" spans="2:8" ht="12.75">
      <c r="B1140" s="113"/>
      <c r="C1140" s="113"/>
      <c r="D1140" s="113"/>
      <c r="E1140" s="113"/>
      <c r="F1140" s="113"/>
      <c r="G1140" s="113"/>
      <c r="H1140" s="113"/>
    </row>
    <row r="1141" spans="2:8" ht="12.75">
      <c r="B1141" s="113"/>
      <c r="C1141" s="113"/>
      <c r="D1141" s="113"/>
      <c r="E1141" s="113"/>
      <c r="F1141" s="113"/>
      <c r="G1141" s="113"/>
      <c r="H1141" s="113"/>
    </row>
    <row r="1142" spans="2:8" ht="12.75">
      <c r="B1142" s="113"/>
      <c r="C1142" s="113"/>
      <c r="D1142" s="113"/>
      <c r="E1142" s="113"/>
      <c r="F1142" s="113"/>
      <c r="G1142" s="113"/>
      <c r="H1142" s="113"/>
    </row>
    <row r="1143" spans="2:8" ht="12.75">
      <c r="B1143" s="113"/>
      <c r="C1143" s="113"/>
      <c r="D1143" s="113"/>
      <c r="E1143" s="113"/>
      <c r="F1143" s="113"/>
      <c r="G1143" s="113"/>
      <c r="H1143" s="113"/>
    </row>
    <row r="1144" spans="2:8" ht="12.75">
      <c r="B1144" s="113"/>
      <c r="C1144" s="113"/>
      <c r="D1144" s="113"/>
      <c r="E1144" s="113"/>
      <c r="F1144" s="113"/>
      <c r="G1144" s="113"/>
      <c r="H1144" s="113"/>
    </row>
    <row r="1145" spans="2:8" ht="12.75">
      <c r="B1145" s="113"/>
      <c r="C1145" s="113"/>
      <c r="D1145" s="113"/>
      <c r="E1145" s="113"/>
      <c r="F1145" s="113"/>
      <c r="G1145" s="113"/>
      <c r="H1145" s="113"/>
    </row>
    <row r="1146" spans="2:8" ht="12.75">
      <c r="B1146" s="113"/>
      <c r="C1146" s="113"/>
      <c r="D1146" s="113"/>
      <c r="E1146" s="113"/>
      <c r="F1146" s="113"/>
      <c r="G1146" s="113"/>
      <c r="H1146" s="113"/>
    </row>
    <row r="1147" spans="2:8" ht="12.75">
      <c r="B1147" s="113"/>
      <c r="C1147" s="113"/>
      <c r="D1147" s="113"/>
      <c r="E1147" s="113"/>
      <c r="F1147" s="113"/>
      <c r="G1147" s="113"/>
      <c r="H1147" s="113"/>
    </row>
    <row r="1148" spans="2:8" ht="12.75">
      <c r="B1148" s="113"/>
      <c r="C1148" s="113"/>
      <c r="D1148" s="113"/>
      <c r="E1148" s="113"/>
      <c r="F1148" s="113"/>
      <c r="G1148" s="113"/>
      <c r="H1148" s="113"/>
    </row>
    <row r="1149" spans="2:8" ht="12.75">
      <c r="B1149" s="113"/>
      <c r="C1149" s="113"/>
      <c r="D1149" s="113"/>
      <c r="E1149" s="113"/>
      <c r="F1149" s="113"/>
      <c r="G1149" s="113"/>
      <c r="H1149" s="113"/>
    </row>
    <row r="1150" spans="2:8" ht="12.75">
      <c r="B1150" s="113"/>
      <c r="C1150" s="113"/>
      <c r="D1150" s="113"/>
      <c r="E1150" s="113"/>
      <c r="F1150" s="113"/>
      <c r="G1150" s="113"/>
      <c r="H1150" s="113"/>
    </row>
    <row r="1151" spans="2:8" ht="12.75">
      <c r="B1151" s="113"/>
      <c r="C1151" s="113"/>
      <c r="D1151" s="113"/>
      <c r="E1151" s="113"/>
      <c r="F1151" s="113"/>
      <c r="G1151" s="113"/>
      <c r="H1151" s="113"/>
    </row>
    <row r="1152" spans="2:8" ht="12.75">
      <c r="B1152" s="113"/>
      <c r="C1152" s="113"/>
      <c r="D1152" s="113"/>
      <c r="E1152" s="113"/>
      <c r="F1152" s="113"/>
      <c r="G1152" s="113"/>
      <c r="H1152" s="113"/>
    </row>
    <row r="1153" spans="2:8" ht="12.75">
      <c r="B1153" s="113"/>
      <c r="C1153" s="113"/>
      <c r="D1153" s="113"/>
      <c r="E1153" s="113"/>
      <c r="F1153" s="113"/>
      <c r="G1153" s="113"/>
      <c r="H1153" s="113"/>
    </row>
    <row r="1154" spans="2:8" ht="12.75">
      <c r="B1154" s="113"/>
      <c r="C1154" s="113"/>
      <c r="D1154" s="113"/>
      <c r="E1154" s="113"/>
      <c r="F1154" s="113"/>
      <c r="G1154" s="113"/>
      <c r="H1154" s="113"/>
    </row>
    <row r="1155" spans="2:8" ht="12.75">
      <c r="B1155" s="113"/>
      <c r="C1155" s="113"/>
      <c r="D1155" s="113"/>
      <c r="E1155" s="113"/>
      <c r="F1155" s="113"/>
      <c r="G1155" s="113"/>
      <c r="H1155" s="113"/>
    </row>
    <row r="1156" spans="2:8" ht="12.75">
      <c r="B1156" s="113"/>
      <c r="C1156" s="113"/>
      <c r="D1156" s="113"/>
      <c r="E1156" s="113"/>
      <c r="F1156" s="113"/>
      <c r="G1156" s="113"/>
      <c r="H1156" s="113"/>
    </row>
    <row r="1157" spans="2:8" ht="12.75">
      <c r="B1157" s="113"/>
      <c r="C1157" s="113"/>
      <c r="D1157" s="113"/>
      <c r="E1157" s="113"/>
      <c r="F1157" s="113"/>
      <c r="G1157" s="113"/>
      <c r="H1157" s="113"/>
    </row>
    <row r="1158" spans="2:8" ht="12.75">
      <c r="B1158" s="113"/>
      <c r="C1158" s="113"/>
      <c r="D1158" s="113"/>
      <c r="E1158" s="113"/>
      <c r="F1158" s="113"/>
      <c r="G1158" s="113"/>
      <c r="H1158" s="113"/>
    </row>
    <row r="1159" spans="2:8" ht="12.75">
      <c r="B1159" s="113"/>
      <c r="C1159" s="113"/>
      <c r="D1159" s="113"/>
      <c r="E1159" s="113"/>
      <c r="F1159" s="113"/>
      <c r="G1159" s="113"/>
      <c r="H1159" s="113"/>
    </row>
    <row r="1160" spans="2:8" ht="12.75">
      <c r="B1160" s="113"/>
      <c r="C1160" s="113"/>
      <c r="D1160" s="113"/>
      <c r="E1160" s="113"/>
      <c r="F1160" s="113"/>
      <c r="G1160" s="113"/>
      <c r="H1160" s="113"/>
    </row>
    <row r="1161" spans="2:8" ht="12.75">
      <c r="B1161" s="113"/>
      <c r="C1161" s="113"/>
      <c r="D1161" s="113"/>
      <c r="E1161" s="113"/>
      <c r="F1161" s="113"/>
      <c r="G1161" s="113"/>
      <c r="H1161" s="113"/>
    </row>
    <row r="1162" spans="2:8" ht="12.75">
      <c r="B1162" s="113"/>
      <c r="C1162" s="113"/>
      <c r="D1162" s="113"/>
      <c r="E1162" s="113"/>
      <c r="F1162" s="113"/>
      <c r="G1162" s="113"/>
      <c r="H1162" s="113"/>
    </row>
    <row r="1163" spans="2:8" ht="12.75">
      <c r="B1163" s="113"/>
      <c r="C1163" s="113"/>
      <c r="D1163" s="113"/>
      <c r="E1163" s="113"/>
      <c r="F1163" s="113"/>
      <c r="G1163" s="113"/>
      <c r="H1163" s="113"/>
    </row>
    <row r="1164" spans="2:8" ht="12.75">
      <c r="B1164" s="113"/>
      <c r="C1164" s="113"/>
      <c r="D1164" s="113"/>
      <c r="E1164" s="113"/>
      <c r="F1164" s="113"/>
      <c r="G1164" s="113"/>
      <c r="H1164" s="113"/>
    </row>
    <row r="1165" spans="2:8" ht="12.75">
      <c r="B1165" s="113"/>
      <c r="C1165" s="113"/>
      <c r="D1165" s="113"/>
      <c r="E1165" s="113"/>
      <c r="F1165" s="113"/>
      <c r="G1165" s="113"/>
      <c r="H1165" s="113"/>
    </row>
    <row r="1166" spans="2:8" ht="12.75">
      <c r="B1166" s="113"/>
      <c r="C1166" s="113"/>
      <c r="D1166" s="113"/>
      <c r="E1166" s="113"/>
      <c r="F1166" s="113"/>
      <c r="G1166" s="113"/>
      <c r="H1166" s="113"/>
    </row>
    <row r="1167" spans="2:8" ht="12.75">
      <c r="B1167" s="113"/>
      <c r="C1167" s="113"/>
      <c r="D1167" s="113"/>
      <c r="E1167" s="113"/>
      <c r="F1167" s="113"/>
      <c r="G1167" s="113"/>
      <c r="H1167" s="113"/>
    </row>
    <row r="1168" spans="2:8" ht="12.75">
      <c r="B1168" s="113"/>
      <c r="C1168" s="113"/>
      <c r="D1168" s="113"/>
      <c r="E1168" s="113"/>
      <c r="F1168" s="113"/>
      <c r="G1168" s="113"/>
      <c r="H1168" s="113"/>
    </row>
    <row r="1169" spans="2:8" ht="12.75">
      <c r="B1169" s="113"/>
      <c r="C1169" s="113"/>
      <c r="D1169" s="113"/>
      <c r="E1169" s="113"/>
      <c r="F1169" s="113"/>
      <c r="G1169" s="113"/>
      <c r="H1169" s="113"/>
    </row>
  </sheetData>
  <sheetProtection/>
  <mergeCells count="5">
    <mergeCell ref="B3:H3"/>
    <mergeCell ref="B5:B7"/>
    <mergeCell ref="B4:C4"/>
    <mergeCell ref="C5:C7"/>
    <mergeCell ref="D5:H5"/>
  </mergeCells>
  <conditionalFormatting sqref="G51:G52 F50:F52 C54:D75 F54:F75 H41:H46 F47:H49 F53:H53 H39 H36:H37 C21:C53 F39:G46 E33:G33 F34:F37 G35:G37 D31:G32 E8:H8 E15:G15 C16:G20 E13:F13 D12:D15 E11 B3 C9:C15 E9 E10:H10 G9:H9 G11:H11 E34:E75 E12:H12 F38:H38 D21:H30 H15:H20 D33:D53 E14:H14">
    <cfRule type="cellIs" priority="1" dxfId="0" operator="equal" stopIfTrue="1">
      <formula>0</formula>
    </cfRule>
  </conditionalFormatting>
  <printOptions horizontalCentered="1"/>
  <pageMargins left="0.5905511811023623" right="0" top="0.3937007874015748" bottom="0.1968503937007874" header="0.1968503937007874" footer="0.07874015748031496"/>
  <pageSetup fitToHeight="7" fitToWidth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V1214"/>
  <sheetViews>
    <sheetView showZeros="0" view="pageBreakPreview" zoomScaleSheetLayoutView="100" workbookViewId="0" topLeftCell="A1">
      <pane xSplit="3" ySplit="7" topLeftCell="D79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81" sqref="M81"/>
    </sheetView>
  </sheetViews>
  <sheetFormatPr defaultColWidth="9.00390625" defaultRowHeight="12.75"/>
  <cols>
    <col min="1" max="1" width="4.00390625" style="77" customWidth="1"/>
    <col min="2" max="2" width="34.875" style="77" customWidth="1"/>
    <col min="3" max="3" width="4.75390625" style="77" customWidth="1"/>
    <col min="4" max="4" width="7.25390625" style="77" hidden="1" customWidth="1"/>
    <col min="5" max="5" width="6.875" style="77" hidden="1" customWidth="1"/>
    <col min="6" max="6" width="10.875" style="77" hidden="1" customWidth="1"/>
    <col min="7" max="7" width="10.625" style="77" hidden="1" customWidth="1"/>
    <col min="8" max="8" width="9.00390625" style="77" hidden="1" customWidth="1"/>
    <col min="9" max="9" width="6.00390625" style="77" customWidth="1"/>
    <col min="10" max="10" width="5.875" style="77" customWidth="1"/>
    <col min="11" max="11" width="10.375" style="77" customWidth="1"/>
    <col min="12" max="12" width="9.125" style="77" customWidth="1"/>
    <col min="13" max="13" width="10.75390625" style="77" bestFit="1" customWidth="1"/>
    <col min="14" max="14" width="7.875" style="77" customWidth="1"/>
    <col min="15" max="15" width="6.375" style="77" customWidth="1"/>
    <col min="16" max="16" width="10.75390625" style="77" customWidth="1"/>
    <col min="17" max="16384" width="9.125" style="77" customWidth="1"/>
  </cols>
  <sheetData>
    <row r="1" spans="4:13" ht="14.25" customHeight="1">
      <c r="D1" s="78"/>
      <c r="E1" s="78"/>
      <c r="F1" s="78"/>
      <c r="L1" s="79"/>
      <c r="M1" s="79"/>
    </row>
    <row r="2" spans="2:13" ht="11.25" customHeight="1">
      <c r="B2" s="80"/>
      <c r="C2" s="80"/>
      <c r="D2" s="81"/>
      <c r="E2" s="81"/>
      <c r="F2" s="81"/>
      <c r="L2" s="79"/>
      <c r="M2" s="79"/>
    </row>
    <row r="3" spans="2:18" ht="56.25" customHeight="1">
      <c r="B3" s="963" t="s">
        <v>457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9"/>
      <c r="N3" s="969"/>
      <c r="O3" s="969"/>
      <c r="P3" s="969"/>
      <c r="Q3" s="969"/>
      <c r="R3" s="969"/>
    </row>
    <row r="4" spans="2:3" ht="8.25" customHeight="1">
      <c r="B4" s="964"/>
      <c r="C4" s="964"/>
    </row>
    <row r="5" spans="2:18" ht="16.5" customHeight="1">
      <c r="B5" s="938" t="s">
        <v>108</v>
      </c>
      <c r="C5" s="965" t="s">
        <v>109</v>
      </c>
      <c r="D5" s="966" t="s">
        <v>434</v>
      </c>
      <c r="E5" s="967"/>
      <c r="F5" s="967"/>
      <c r="G5" s="967"/>
      <c r="H5" s="968"/>
      <c r="I5" s="966" t="s">
        <v>146</v>
      </c>
      <c r="J5" s="967"/>
      <c r="K5" s="967"/>
      <c r="L5" s="967"/>
      <c r="M5" s="968"/>
      <c r="N5" s="970" t="s">
        <v>194</v>
      </c>
      <c r="O5" s="971"/>
      <c r="P5" s="971"/>
      <c r="Q5" s="971"/>
      <c r="R5" s="972"/>
    </row>
    <row r="6" spans="2:18" ht="67.5" customHeight="1">
      <c r="B6" s="938"/>
      <c r="C6" s="965"/>
      <c r="D6" s="83" t="s">
        <v>110</v>
      </c>
      <c r="E6" s="83" t="s">
        <v>111</v>
      </c>
      <c r="F6" s="83" t="s">
        <v>112</v>
      </c>
      <c r="G6" s="83" t="s">
        <v>113</v>
      </c>
      <c r="H6" s="83" t="s">
        <v>353</v>
      </c>
      <c r="I6" s="83" t="s">
        <v>110</v>
      </c>
      <c r="J6" s="83" t="s">
        <v>111</v>
      </c>
      <c r="K6" s="83" t="s">
        <v>112</v>
      </c>
      <c r="L6" s="83" t="s">
        <v>113</v>
      </c>
      <c r="M6" s="83" t="s">
        <v>353</v>
      </c>
      <c r="N6" s="83" t="s">
        <v>110</v>
      </c>
      <c r="O6" s="83" t="s">
        <v>111</v>
      </c>
      <c r="P6" s="83" t="s">
        <v>112</v>
      </c>
      <c r="Q6" s="83" t="s">
        <v>113</v>
      </c>
      <c r="R6" s="83" t="s">
        <v>353</v>
      </c>
    </row>
    <row r="7" spans="2:18" ht="13.5" customHeight="1">
      <c r="B7" s="938"/>
      <c r="C7" s="965"/>
      <c r="D7" s="82" t="s">
        <v>107</v>
      </c>
      <c r="E7" s="82" t="s">
        <v>106</v>
      </c>
      <c r="F7" s="83" t="s">
        <v>114</v>
      </c>
      <c r="G7" s="83" t="s">
        <v>114</v>
      </c>
      <c r="H7" s="83" t="s">
        <v>114</v>
      </c>
      <c r="I7" s="82" t="s">
        <v>107</v>
      </c>
      <c r="J7" s="82" t="s">
        <v>106</v>
      </c>
      <c r="K7" s="83" t="s">
        <v>114</v>
      </c>
      <c r="L7" s="83" t="s">
        <v>114</v>
      </c>
      <c r="M7" s="83" t="s">
        <v>114</v>
      </c>
      <c r="N7" s="82" t="s">
        <v>107</v>
      </c>
      <c r="O7" s="82" t="s">
        <v>106</v>
      </c>
      <c r="P7" s="83" t="s">
        <v>114</v>
      </c>
      <c r="Q7" s="83" t="s">
        <v>114</v>
      </c>
      <c r="R7" s="83" t="s">
        <v>114</v>
      </c>
    </row>
    <row r="8" spans="2:18" ht="13.5" customHeight="1">
      <c r="B8" s="87" t="s">
        <v>196</v>
      </c>
      <c r="C8" s="268"/>
      <c r="D8" s="82"/>
      <c r="E8" s="82"/>
      <c r="F8" s="83"/>
      <c r="G8" s="83"/>
      <c r="H8" s="83"/>
      <c r="I8" s="82"/>
      <c r="J8" s="89">
        <f>J9+J10</f>
        <v>5.519</v>
      </c>
      <c r="K8" s="89">
        <f>K9</f>
        <v>0</v>
      </c>
      <c r="L8" s="89">
        <f>L9+L10</f>
        <v>16557</v>
      </c>
      <c r="M8" s="89">
        <f>M9+M10</f>
        <v>47000</v>
      </c>
      <c r="N8" s="82"/>
      <c r="O8" s="89">
        <f>O9+O11</f>
        <v>2.1</v>
      </c>
      <c r="P8" s="89">
        <f>P9+P11</f>
        <v>0</v>
      </c>
      <c r="Q8" s="89">
        <f>Q9+Q11</f>
        <v>6300</v>
      </c>
      <c r="R8" s="89">
        <f>R9+R11</f>
        <v>10000</v>
      </c>
    </row>
    <row r="9" spans="1:22" ht="48">
      <c r="A9" s="77" t="s">
        <v>124</v>
      </c>
      <c r="B9" s="270" t="s">
        <v>435</v>
      </c>
      <c r="C9" s="94" t="s">
        <v>115</v>
      </c>
      <c r="D9" s="587"/>
      <c r="E9" s="587"/>
      <c r="F9" s="588"/>
      <c r="G9" s="588"/>
      <c r="H9" s="588"/>
      <c r="I9" s="587"/>
      <c r="J9" s="95">
        <v>0.7</v>
      </c>
      <c r="K9" s="95"/>
      <c r="L9" s="95">
        <v>2100</v>
      </c>
      <c r="M9" s="95">
        <v>7000</v>
      </c>
      <c r="N9" s="587"/>
      <c r="O9" s="587"/>
      <c r="P9" s="588"/>
      <c r="Q9" s="588"/>
      <c r="R9" s="588"/>
      <c r="S9" s="215"/>
      <c r="U9" s="215"/>
      <c r="V9" s="215"/>
    </row>
    <row r="10" spans="2:18" ht="36">
      <c r="B10" s="1006" t="s">
        <v>436</v>
      </c>
      <c r="C10" s="96" t="s">
        <v>115</v>
      </c>
      <c r="D10" s="219"/>
      <c r="E10" s="219"/>
      <c r="F10" s="782"/>
      <c r="G10" s="782"/>
      <c r="H10" s="782"/>
      <c r="I10" s="783"/>
      <c r="J10" s="190">
        <v>4.819</v>
      </c>
      <c r="K10" s="190"/>
      <c r="L10" s="190">
        <v>14457</v>
      </c>
      <c r="M10" s="190">
        <v>40000</v>
      </c>
      <c r="N10" s="783"/>
      <c r="O10" s="783"/>
      <c r="P10" s="782"/>
      <c r="Q10" s="782"/>
      <c r="R10" s="782"/>
    </row>
    <row r="11" spans="2:18" ht="36">
      <c r="B11" s="316" t="s">
        <v>437</v>
      </c>
      <c r="C11" s="99" t="s">
        <v>115</v>
      </c>
      <c r="D11" s="220"/>
      <c r="E11" s="220"/>
      <c r="F11" s="221"/>
      <c r="G11" s="221"/>
      <c r="H11" s="221"/>
      <c r="I11" s="220"/>
      <c r="J11" s="98"/>
      <c r="K11" s="98"/>
      <c r="L11" s="98"/>
      <c r="M11" s="98"/>
      <c r="N11" s="220"/>
      <c r="O11" s="98">
        <v>2.1</v>
      </c>
      <c r="P11" s="221"/>
      <c r="Q11" s="98">
        <v>6300</v>
      </c>
      <c r="R11" s="98">
        <v>10000</v>
      </c>
    </row>
    <row r="12" spans="2:18" ht="13.5" customHeight="1" hidden="1">
      <c r="B12" s="87" t="s">
        <v>198</v>
      </c>
      <c r="C12" s="268"/>
      <c r="D12" s="82"/>
      <c r="E12" s="89">
        <f>E13</f>
        <v>3.2</v>
      </c>
      <c r="F12" s="89">
        <f>F13</f>
        <v>0</v>
      </c>
      <c r="G12" s="89">
        <f>G13</f>
        <v>9600</v>
      </c>
      <c r="H12" s="89">
        <f>H13</f>
        <v>32000</v>
      </c>
      <c r="I12" s="82"/>
      <c r="J12" s="89">
        <f>J13</f>
        <v>0</v>
      </c>
      <c r="K12" s="89">
        <f>K13</f>
        <v>0</v>
      </c>
      <c r="L12" s="89">
        <f>L13</f>
        <v>0</v>
      </c>
      <c r="M12" s="89">
        <f>M13</f>
        <v>0</v>
      </c>
      <c r="N12" s="82"/>
      <c r="O12" s="82"/>
      <c r="P12" s="83"/>
      <c r="Q12" s="83"/>
      <c r="R12" s="83"/>
    </row>
    <row r="13" spans="1:18" ht="36" hidden="1">
      <c r="A13" s="77" t="s">
        <v>124</v>
      </c>
      <c r="B13" s="317" t="s">
        <v>368</v>
      </c>
      <c r="C13" s="90" t="s">
        <v>115</v>
      </c>
      <c r="D13" s="82"/>
      <c r="E13" s="91">
        <v>3.2</v>
      </c>
      <c r="F13" s="83"/>
      <c r="G13" s="91">
        <v>9600</v>
      </c>
      <c r="H13" s="91">
        <v>32000</v>
      </c>
      <c r="I13" s="82"/>
      <c r="J13" s="82"/>
      <c r="K13" s="83"/>
      <c r="L13" s="83"/>
      <c r="M13" s="83"/>
      <c r="N13" s="82"/>
      <c r="O13" s="82"/>
      <c r="P13" s="588"/>
      <c r="Q13" s="588"/>
      <c r="R13" s="589"/>
    </row>
    <row r="14" spans="2:18" ht="14.25">
      <c r="B14" s="306" t="s">
        <v>202</v>
      </c>
      <c r="C14" s="274"/>
      <c r="D14" s="590"/>
      <c r="E14" s="132">
        <f>E16</f>
        <v>0.603</v>
      </c>
      <c r="F14" s="554"/>
      <c r="G14" s="132">
        <f>G16</f>
        <v>1210</v>
      </c>
      <c r="H14" s="132">
        <f>H16</f>
        <v>6030</v>
      </c>
      <c r="I14" s="590"/>
      <c r="J14" s="132">
        <f>J16+J15</f>
        <v>4</v>
      </c>
      <c r="K14" s="554"/>
      <c r="L14" s="132">
        <f>L16+L15</f>
        <v>12000</v>
      </c>
      <c r="M14" s="132">
        <f>M16+M15</f>
        <v>20000</v>
      </c>
      <c r="N14" s="590"/>
      <c r="O14" s="590"/>
      <c r="P14" s="83"/>
      <c r="Q14" s="83"/>
      <c r="R14" s="83"/>
    </row>
    <row r="15" spans="2:18" ht="36">
      <c r="B15" s="591" t="s">
        <v>438</v>
      </c>
      <c r="C15" s="96" t="s">
        <v>115</v>
      </c>
      <c r="D15" s="592"/>
      <c r="E15" s="593"/>
      <c r="F15" s="589"/>
      <c r="G15" s="593"/>
      <c r="H15" s="593"/>
      <c r="I15" s="592"/>
      <c r="J15" s="201">
        <v>4</v>
      </c>
      <c r="K15" s="589"/>
      <c r="L15" s="201">
        <v>12000</v>
      </c>
      <c r="M15" s="201">
        <v>20000</v>
      </c>
      <c r="N15" s="592"/>
      <c r="O15" s="592"/>
      <c r="P15" s="589"/>
      <c r="Q15" s="589"/>
      <c r="R15" s="589"/>
    </row>
    <row r="16" spans="2:18" ht="48" hidden="1">
      <c r="B16" s="316" t="s">
        <v>188</v>
      </c>
      <c r="C16" s="99"/>
      <c r="D16" s="220"/>
      <c r="E16" s="594">
        <v>0.603</v>
      </c>
      <c r="F16" s="221"/>
      <c r="G16" s="98">
        <f>600+610</f>
        <v>1210</v>
      </c>
      <c r="H16" s="98">
        <v>6030</v>
      </c>
      <c r="I16" s="220"/>
      <c r="J16" s="98"/>
      <c r="K16" s="221"/>
      <c r="L16" s="98"/>
      <c r="M16" s="98"/>
      <c r="N16" s="220"/>
      <c r="O16" s="220"/>
      <c r="P16" s="221"/>
      <c r="Q16" s="221"/>
      <c r="R16" s="221"/>
    </row>
    <row r="17" spans="2:18" ht="14.25">
      <c r="B17" s="87" t="s">
        <v>116</v>
      </c>
      <c r="C17" s="88"/>
      <c r="D17" s="88"/>
      <c r="E17" s="89">
        <f>E18</f>
        <v>1.038</v>
      </c>
      <c r="F17" s="89">
        <f>F18</f>
        <v>109090.4</v>
      </c>
      <c r="G17" s="89">
        <f>G18</f>
        <v>0</v>
      </c>
      <c r="H17" s="2"/>
      <c r="I17" s="84"/>
      <c r="J17" s="84"/>
      <c r="K17" s="89">
        <f>K18</f>
        <v>0</v>
      </c>
      <c r="L17" s="89">
        <f>L18</f>
        <v>0</v>
      </c>
      <c r="M17" s="89"/>
      <c r="N17" s="84"/>
      <c r="O17" s="89">
        <f>O18+O19</f>
        <v>2.1</v>
      </c>
      <c r="P17" s="89"/>
      <c r="Q17" s="89">
        <f>Q18+Q19</f>
        <v>6300</v>
      </c>
      <c r="R17" s="89">
        <f>R18+R19</f>
        <v>10000</v>
      </c>
    </row>
    <row r="18" spans="1:18" ht="24" hidden="1">
      <c r="A18" s="77" t="s">
        <v>117</v>
      </c>
      <c r="B18" s="510" t="s">
        <v>119</v>
      </c>
      <c r="C18" s="94"/>
      <c r="D18" s="95" t="s">
        <v>147</v>
      </c>
      <c r="E18" s="95">
        <v>1.038</v>
      </c>
      <c r="F18" s="95">
        <v>109090.4</v>
      </c>
      <c r="G18" s="85"/>
      <c r="H18" s="85"/>
      <c r="I18" s="85"/>
      <c r="J18" s="85"/>
      <c r="K18" s="95"/>
      <c r="L18" s="85"/>
      <c r="M18" s="85"/>
      <c r="N18" s="85"/>
      <c r="O18" s="85"/>
      <c r="P18" s="85"/>
      <c r="Q18" s="85"/>
      <c r="R18" s="85"/>
    </row>
    <row r="19" spans="2:18" ht="36">
      <c r="B19" s="316" t="s">
        <v>439</v>
      </c>
      <c r="C19" s="99" t="s">
        <v>115</v>
      </c>
      <c r="D19" s="98"/>
      <c r="E19" s="98"/>
      <c r="F19" s="98"/>
      <c r="G19" s="86"/>
      <c r="H19" s="86"/>
      <c r="I19" s="86"/>
      <c r="J19" s="86"/>
      <c r="K19" s="98"/>
      <c r="L19" s="86"/>
      <c r="M19" s="86"/>
      <c r="N19" s="86"/>
      <c r="O19" s="98">
        <v>2.1</v>
      </c>
      <c r="P19" s="98"/>
      <c r="Q19" s="98">
        <v>6300</v>
      </c>
      <c r="R19" s="98">
        <v>10000</v>
      </c>
    </row>
    <row r="20" spans="2:18" ht="14.25">
      <c r="B20" s="87" t="s">
        <v>304</v>
      </c>
      <c r="C20" s="90"/>
      <c r="D20" s="91"/>
      <c r="E20" s="89">
        <f>E21</f>
        <v>0</v>
      </c>
      <c r="F20" s="89">
        <f>F21</f>
        <v>0</v>
      </c>
      <c r="G20" s="89">
        <f>G21</f>
        <v>0</v>
      </c>
      <c r="H20" s="89">
        <f>H21+H23</f>
        <v>0</v>
      </c>
      <c r="I20" s="84"/>
      <c r="J20" s="89">
        <f>J21+J23</f>
        <v>4.2</v>
      </c>
      <c r="K20" s="89">
        <f>K21+K23</f>
        <v>0</v>
      </c>
      <c r="L20" s="89">
        <f>L21+L23</f>
        <v>12600</v>
      </c>
      <c r="M20" s="89">
        <f>M21+M23</f>
        <v>22000</v>
      </c>
      <c r="N20" s="84"/>
      <c r="O20" s="89">
        <f>O21+O23+O22</f>
        <v>3.6</v>
      </c>
      <c r="P20" s="89">
        <f>P21+P23</f>
        <v>0</v>
      </c>
      <c r="Q20" s="89">
        <f>Q21+Q23+Q22</f>
        <v>10800</v>
      </c>
      <c r="R20" s="89">
        <f>R21+R23+R22</f>
        <v>16000</v>
      </c>
    </row>
    <row r="21" spans="1:18" ht="48">
      <c r="A21" s="77" t="s">
        <v>124</v>
      </c>
      <c r="B21" s="270" t="s">
        <v>440</v>
      </c>
      <c r="C21" s="94" t="s">
        <v>115</v>
      </c>
      <c r="D21" s="95"/>
      <c r="E21" s="95"/>
      <c r="F21" s="95"/>
      <c r="G21" s="95"/>
      <c r="H21" s="95"/>
      <c r="I21" s="85"/>
      <c r="J21" s="85"/>
      <c r="K21" s="95"/>
      <c r="L21" s="85"/>
      <c r="M21" s="85"/>
      <c r="N21" s="85"/>
      <c r="O21" s="95">
        <v>1.8</v>
      </c>
      <c r="P21" s="95"/>
      <c r="Q21" s="95">
        <v>5400</v>
      </c>
      <c r="R21" s="95">
        <v>8000</v>
      </c>
    </row>
    <row r="22" spans="2:18" ht="36">
      <c r="B22" s="591" t="s">
        <v>441</v>
      </c>
      <c r="C22" s="96" t="s">
        <v>115</v>
      </c>
      <c r="D22" s="97"/>
      <c r="E22" s="97"/>
      <c r="F22" s="97"/>
      <c r="G22" s="97"/>
      <c r="H22" s="97"/>
      <c r="I22" s="106"/>
      <c r="J22" s="106"/>
      <c r="K22" s="97"/>
      <c r="L22" s="106"/>
      <c r="M22" s="106"/>
      <c r="N22" s="106"/>
      <c r="O22" s="97">
        <v>1.8</v>
      </c>
      <c r="P22" s="97"/>
      <c r="Q22" s="97">
        <v>5400</v>
      </c>
      <c r="R22" s="97">
        <v>8000</v>
      </c>
    </row>
    <row r="23" spans="1:18" ht="48">
      <c r="A23" s="77" t="s">
        <v>124</v>
      </c>
      <c r="B23" s="316" t="s">
        <v>442</v>
      </c>
      <c r="C23" s="99" t="s">
        <v>115</v>
      </c>
      <c r="D23" s="98"/>
      <c r="E23" s="98"/>
      <c r="F23" s="98"/>
      <c r="G23" s="98"/>
      <c r="H23" s="98"/>
      <c r="I23" s="86"/>
      <c r="J23" s="98">
        <v>4.2</v>
      </c>
      <c r="K23" s="98"/>
      <c r="L23" s="98">
        <v>12600</v>
      </c>
      <c r="M23" s="98">
        <v>22000</v>
      </c>
      <c r="N23" s="86"/>
      <c r="O23" s="86"/>
      <c r="P23" s="86"/>
      <c r="Q23" s="86"/>
      <c r="R23" s="86"/>
    </row>
    <row r="24" spans="2:18" ht="14.25">
      <c r="B24" s="181" t="s">
        <v>207</v>
      </c>
      <c r="C24" s="90"/>
      <c r="D24" s="91"/>
      <c r="E24" s="91"/>
      <c r="F24" s="91"/>
      <c r="G24" s="91"/>
      <c r="H24" s="91"/>
      <c r="I24" s="84"/>
      <c r="J24" s="91"/>
      <c r="K24" s="91"/>
      <c r="L24" s="91"/>
      <c r="M24" s="91"/>
      <c r="N24" s="84"/>
      <c r="O24" s="89">
        <f>O25</f>
        <v>4.2</v>
      </c>
      <c r="P24" s="89"/>
      <c r="Q24" s="89">
        <f>Q25</f>
        <v>12600</v>
      </c>
      <c r="R24" s="89">
        <f>R25</f>
        <v>22000</v>
      </c>
    </row>
    <row r="25" spans="2:18" ht="36">
      <c r="B25" s="317" t="s">
        <v>443</v>
      </c>
      <c r="C25" s="90"/>
      <c r="D25" s="91"/>
      <c r="E25" s="91"/>
      <c r="F25" s="91"/>
      <c r="G25" s="91"/>
      <c r="H25" s="91"/>
      <c r="I25" s="84"/>
      <c r="J25" s="91"/>
      <c r="K25" s="91"/>
      <c r="L25" s="91"/>
      <c r="M25" s="91"/>
      <c r="N25" s="84"/>
      <c r="O25" s="91">
        <v>4.2</v>
      </c>
      <c r="P25" s="91"/>
      <c r="Q25" s="91">
        <v>12600</v>
      </c>
      <c r="R25" s="91">
        <v>22000</v>
      </c>
    </row>
    <row r="26" spans="2:18" ht="14.25">
      <c r="B26" s="92" t="s">
        <v>120</v>
      </c>
      <c r="C26" s="93"/>
      <c r="D26" s="89">
        <f>D27</f>
        <v>0</v>
      </c>
      <c r="E26" s="89">
        <f>E27</f>
        <v>0</v>
      </c>
      <c r="F26" s="89">
        <f>F27</f>
        <v>0</v>
      </c>
      <c r="G26" s="89">
        <f>G27+G28</f>
        <v>50000</v>
      </c>
      <c r="H26" s="89">
        <f aca="true" t="shared" si="0" ref="H26:M26">H27</f>
        <v>0</v>
      </c>
      <c r="I26" s="89">
        <f t="shared" si="0"/>
        <v>0</v>
      </c>
      <c r="J26" s="89">
        <f t="shared" si="0"/>
        <v>4.03</v>
      </c>
      <c r="K26" s="89">
        <f t="shared" si="0"/>
        <v>0</v>
      </c>
      <c r="L26" s="89">
        <f t="shared" si="0"/>
        <v>54342.3</v>
      </c>
      <c r="M26" s="89">
        <f t="shared" si="0"/>
        <v>0</v>
      </c>
      <c r="N26" s="84"/>
      <c r="O26" s="84"/>
      <c r="P26" s="84"/>
      <c r="Q26" s="84"/>
      <c r="R26" s="84"/>
    </row>
    <row r="27" spans="1:18" ht="12.75">
      <c r="A27" s="77" t="s">
        <v>124</v>
      </c>
      <c r="B27" s="517" t="s">
        <v>148</v>
      </c>
      <c r="C27" s="94" t="s">
        <v>115</v>
      </c>
      <c r="D27" s="1"/>
      <c r="E27" s="95">
        <f>4.03-4.03</f>
        <v>0</v>
      </c>
      <c r="F27" s="130"/>
      <c r="G27" s="95">
        <v>30000</v>
      </c>
      <c r="H27" s="95"/>
      <c r="I27" s="85"/>
      <c r="J27" s="95">
        <v>4.03</v>
      </c>
      <c r="K27" s="95"/>
      <c r="L27" s="95">
        <f>79342.3-25000</f>
        <v>54342.3</v>
      </c>
      <c r="M27" s="95"/>
      <c r="N27" s="85"/>
      <c r="O27" s="85"/>
      <c r="P27" s="85"/>
      <c r="Q27" s="85"/>
      <c r="R27" s="85"/>
    </row>
    <row r="28" spans="2:18" ht="86.25" customHeight="1" hidden="1">
      <c r="B28" s="595" t="s">
        <v>18</v>
      </c>
      <c r="C28" s="596"/>
      <c r="D28" s="597" t="s">
        <v>19</v>
      </c>
      <c r="E28" s="367"/>
      <c r="F28" s="598"/>
      <c r="G28" s="597">
        <v>20000</v>
      </c>
      <c r="H28" s="367"/>
      <c r="I28" s="599"/>
      <c r="J28" s="367"/>
      <c r="K28" s="367"/>
      <c r="L28" s="367"/>
      <c r="M28" s="367"/>
      <c r="N28" s="599"/>
      <c r="O28" s="599"/>
      <c r="P28" s="599"/>
      <c r="Q28" s="599"/>
      <c r="R28" s="599"/>
    </row>
    <row r="29" spans="2:18" ht="14.25">
      <c r="B29" s="181" t="s">
        <v>223</v>
      </c>
      <c r="C29" s="90"/>
      <c r="D29" s="126"/>
      <c r="E29" s="89">
        <f>E30</f>
        <v>1.836</v>
      </c>
      <c r="F29" s="89"/>
      <c r="G29" s="89">
        <f>G30</f>
        <v>11574.5</v>
      </c>
      <c r="H29" s="89">
        <f aca="true" t="shared" si="1" ref="H29:M29">H30+H31</f>
        <v>18000</v>
      </c>
      <c r="I29" s="89">
        <f t="shared" si="1"/>
        <v>0</v>
      </c>
      <c r="J29" s="89">
        <f t="shared" si="1"/>
        <v>0.6</v>
      </c>
      <c r="K29" s="89">
        <f t="shared" si="1"/>
        <v>0</v>
      </c>
      <c r="L29" s="89">
        <f t="shared" si="1"/>
        <v>1800</v>
      </c>
      <c r="M29" s="89">
        <f t="shared" si="1"/>
        <v>6000</v>
      </c>
      <c r="N29" s="84"/>
      <c r="O29" s="84"/>
      <c r="P29" s="84"/>
      <c r="Q29" s="84"/>
      <c r="R29" s="84"/>
    </row>
    <row r="30" spans="1:18" ht="78.75" customHeight="1" hidden="1">
      <c r="A30" s="77" t="s">
        <v>124</v>
      </c>
      <c r="B30" s="321" t="s">
        <v>395</v>
      </c>
      <c r="C30" s="600" t="s">
        <v>115</v>
      </c>
      <c r="D30" s="32"/>
      <c r="E30" s="601">
        <v>1.836</v>
      </c>
      <c r="F30" s="602"/>
      <c r="G30" s="601">
        <f>5400+6174.5</f>
        <v>11574.5</v>
      </c>
      <c r="H30" s="179">
        <v>18000</v>
      </c>
      <c r="I30" s="603"/>
      <c r="J30" s="179"/>
      <c r="K30" s="179"/>
      <c r="L30" s="179"/>
      <c r="M30" s="179"/>
      <c r="N30" s="603"/>
      <c r="O30" s="603"/>
      <c r="P30" s="603"/>
      <c r="Q30" s="603"/>
      <c r="R30" s="603"/>
    </row>
    <row r="31" spans="1:18" ht="38.25">
      <c r="A31" s="77" t="s">
        <v>124</v>
      </c>
      <c r="B31" s="604" t="s">
        <v>444</v>
      </c>
      <c r="C31" s="99" t="s">
        <v>115</v>
      </c>
      <c r="D31" s="128"/>
      <c r="E31" s="98"/>
      <c r="F31" s="605"/>
      <c r="G31" s="98"/>
      <c r="H31" s="98"/>
      <c r="I31" s="86"/>
      <c r="J31" s="98">
        <v>0.6</v>
      </c>
      <c r="K31" s="98"/>
      <c r="L31" s="98">
        <v>1800</v>
      </c>
      <c r="M31" s="98">
        <v>6000</v>
      </c>
      <c r="N31" s="86"/>
      <c r="O31" s="86"/>
      <c r="P31" s="86"/>
      <c r="Q31" s="86"/>
      <c r="R31" s="86"/>
    </row>
    <row r="32" spans="2:18" ht="14.25">
      <c r="B32" s="181" t="s">
        <v>216</v>
      </c>
      <c r="C32" s="90"/>
      <c r="D32" s="233"/>
      <c r="E32" s="187"/>
      <c r="F32" s="276"/>
      <c r="G32" s="187"/>
      <c r="H32" s="187"/>
      <c r="I32" s="241"/>
      <c r="J32" s="89">
        <f>J33</f>
        <v>0</v>
      </c>
      <c r="K32" s="89">
        <f>K33</f>
        <v>0</v>
      </c>
      <c r="L32" s="89">
        <f>L33</f>
        <v>0</v>
      </c>
      <c r="M32" s="89">
        <f>M33</f>
        <v>0</v>
      </c>
      <c r="N32" s="84"/>
      <c r="O32" s="89">
        <f>O33</f>
        <v>1</v>
      </c>
      <c r="P32" s="89">
        <f>P33</f>
        <v>0</v>
      </c>
      <c r="Q32" s="89">
        <f>Q33</f>
        <v>3000</v>
      </c>
      <c r="R32" s="89">
        <f>R33</f>
        <v>5000</v>
      </c>
    </row>
    <row r="33" spans="1:18" ht="36">
      <c r="A33" s="77" t="s">
        <v>124</v>
      </c>
      <c r="B33" s="270" t="s">
        <v>445</v>
      </c>
      <c r="C33" s="273" t="s">
        <v>115</v>
      </c>
      <c r="D33" s="233"/>
      <c r="E33" s="187"/>
      <c r="F33" s="276"/>
      <c r="G33" s="187"/>
      <c r="H33" s="187"/>
      <c r="I33" s="241"/>
      <c r="J33" s="190"/>
      <c r="K33" s="190"/>
      <c r="L33" s="190"/>
      <c r="M33" s="190"/>
      <c r="N33" s="84"/>
      <c r="O33" s="190">
        <v>1</v>
      </c>
      <c r="P33" s="190"/>
      <c r="Q33" s="190">
        <v>3000</v>
      </c>
      <c r="R33" s="190">
        <v>5000</v>
      </c>
    </row>
    <row r="34" spans="2:18" ht="14.25" hidden="1">
      <c r="B34" s="181" t="s">
        <v>404</v>
      </c>
      <c r="C34" s="90"/>
      <c r="D34" s="233"/>
      <c r="E34" s="88">
        <f>E35</f>
        <v>0</v>
      </c>
      <c r="F34" s="276"/>
      <c r="G34" s="88">
        <f>G35</f>
        <v>0</v>
      </c>
      <c r="H34" s="88">
        <f>H35</f>
        <v>40000</v>
      </c>
      <c r="I34" s="241"/>
      <c r="J34" s="88">
        <f>J35</f>
        <v>0</v>
      </c>
      <c r="K34" s="88">
        <f>K35</f>
        <v>0</v>
      </c>
      <c r="L34" s="88">
        <f>L35</f>
        <v>0</v>
      </c>
      <c r="M34" s="88">
        <f>M35</f>
        <v>0</v>
      </c>
      <c r="N34" s="84"/>
      <c r="O34" s="84"/>
      <c r="P34" s="84"/>
      <c r="Q34" s="84"/>
      <c r="R34" s="84"/>
    </row>
    <row r="35" spans="2:18" ht="24" hidden="1">
      <c r="B35" s="318" t="s">
        <v>372</v>
      </c>
      <c r="C35" s="273"/>
      <c r="D35" s="233"/>
      <c r="E35" s="187"/>
      <c r="F35" s="276"/>
      <c r="G35" s="187"/>
      <c r="H35" s="187">
        <v>40000</v>
      </c>
      <c r="I35" s="241"/>
      <c r="J35" s="606">
        <f>4-4</f>
        <v>0</v>
      </c>
      <c r="K35" s="276"/>
      <c r="L35" s="606">
        <f>4000-4000</f>
        <v>0</v>
      </c>
      <c r="M35" s="187"/>
      <c r="N35" s="84"/>
      <c r="O35" s="84"/>
      <c r="P35" s="84"/>
      <c r="Q35" s="84"/>
      <c r="R35" s="308"/>
    </row>
    <row r="36" spans="2:18" ht="14.25">
      <c r="B36" s="87" t="s">
        <v>230</v>
      </c>
      <c r="C36" s="90"/>
      <c r="D36" s="233"/>
      <c r="E36" s="187"/>
      <c r="F36" s="276"/>
      <c r="G36" s="187"/>
      <c r="H36" s="187"/>
      <c r="I36" s="241"/>
      <c r="J36" s="89">
        <f>J37+J38</f>
        <v>4.5</v>
      </c>
      <c r="K36" s="89">
        <f>K37</f>
        <v>0</v>
      </c>
      <c r="L36" s="89">
        <f>L37+L38</f>
        <v>13500</v>
      </c>
      <c r="M36" s="89">
        <f>M37+M38</f>
        <v>18000</v>
      </c>
      <c r="N36" s="84"/>
      <c r="O36" s="89">
        <f>O37+O39</f>
        <v>2.3</v>
      </c>
      <c r="P36" s="89">
        <f>P37+P39</f>
        <v>0</v>
      </c>
      <c r="Q36" s="89">
        <f>Q37+Q39</f>
        <v>6900</v>
      </c>
      <c r="R36" s="89">
        <f>R37+R39</f>
        <v>7273</v>
      </c>
    </row>
    <row r="37" spans="1:18" ht="48">
      <c r="A37" s="77" t="s">
        <v>124</v>
      </c>
      <c r="B37" s="270" t="s">
        <v>446</v>
      </c>
      <c r="C37" s="94" t="s">
        <v>115</v>
      </c>
      <c r="D37" s="1"/>
      <c r="E37" s="95"/>
      <c r="F37" s="130"/>
      <c r="G37" s="95"/>
      <c r="H37" s="95"/>
      <c r="I37" s="85"/>
      <c r="J37" s="95">
        <v>2.8</v>
      </c>
      <c r="K37" s="95"/>
      <c r="L37" s="95">
        <v>8400</v>
      </c>
      <c r="M37" s="95">
        <v>13000</v>
      </c>
      <c r="N37" s="85"/>
      <c r="O37" s="85"/>
      <c r="P37" s="85"/>
      <c r="Q37" s="85"/>
      <c r="R37" s="85"/>
    </row>
    <row r="38" spans="2:18" ht="36">
      <c r="B38" s="591" t="s">
        <v>454</v>
      </c>
      <c r="C38" s="273" t="s">
        <v>115</v>
      </c>
      <c r="D38" s="844"/>
      <c r="E38" s="190"/>
      <c r="F38" s="845"/>
      <c r="G38" s="190"/>
      <c r="H38" s="190"/>
      <c r="I38" s="308"/>
      <c r="J38" s="190">
        <v>1.7</v>
      </c>
      <c r="K38" s="190"/>
      <c r="L38" s="190">
        <f>5100</f>
        <v>5100</v>
      </c>
      <c r="M38" s="190">
        <f>17000-12000</f>
        <v>5000</v>
      </c>
      <c r="N38" s="308"/>
      <c r="O38" s="308"/>
      <c r="P38" s="308"/>
      <c r="Q38" s="308"/>
      <c r="R38" s="308"/>
    </row>
    <row r="39" spans="2:18" ht="36">
      <c r="B39" s="316" t="s">
        <v>447</v>
      </c>
      <c r="C39" s="99" t="s">
        <v>115</v>
      </c>
      <c r="D39" s="128"/>
      <c r="E39" s="98"/>
      <c r="F39" s="605"/>
      <c r="G39" s="98"/>
      <c r="H39" s="98"/>
      <c r="I39" s="86"/>
      <c r="J39" s="98"/>
      <c r="K39" s="98"/>
      <c r="L39" s="98"/>
      <c r="M39" s="98"/>
      <c r="N39" s="86"/>
      <c r="O39" s="98">
        <v>2.3</v>
      </c>
      <c r="P39" s="98"/>
      <c r="Q39" s="98">
        <v>6900</v>
      </c>
      <c r="R39" s="98">
        <v>7273</v>
      </c>
    </row>
    <row r="40" spans="2:18" ht="14.25">
      <c r="B40" s="181" t="s">
        <v>231</v>
      </c>
      <c r="C40" s="90"/>
      <c r="D40" s="126"/>
      <c r="E40" s="88">
        <f>E41</f>
        <v>4</v>
      </c>
      <c r="F40" s="2"/>
      <c r="G40" s="88">
        <f>G41</f>
        <v>4000</v>
      </c>
      <c r="H40" s="88">
        <f>H41</f>
        <v>40000</v>
      </c>
      <c r="I40" s="84"/>
      <c r="J40" s="88">
        <f>J41</f>
        <v>0</v>
      </c>
      <c r="K40" s="88">
        <f>K41</f>
        <v>0</v>
      </c>
      <c r="L40" s="88">
        <f>L41</f>
        <v>0</v>
      </c>
      <c r="M40" s="88">
        <f>M41</f>
        <v>0</v>
      </c>
      <c r="N40" s="84"/>
      <c r="O40" s="84"/>
      <c r="P40" s="84"/>
      <c r="Q40" s="84"/>
      <c r="R40" s="84"/>
    </row>
    <row r="41" spans="2:18" ht="48">
      <c r="B41" s="318" t="s">
        <v>125</v>
      </c>
      <c r="C41" s="273"/>
      <c r="D41" s="233"/>
      <c r="E41" s="187">
        <v>4</v>
      </c>
      <c r="F41" s="276"/>
      <c r="G41" s="187">
        <v>4000</v>
      </c>
      <c r="H41" s="187">
        <v>40000</v>
      </c>
      <c r="I41" s="241"/>
      <c r="J41" s="187"/>
      <c r="K41" s="276"/>
      <c r="L41" s="187"/>
      <c r="M41" s="187"/>
      <c r="N41" s="241"/>
      <c r="O41" s="84"/>
      <c r="P41" s="84"/>
      <c r="Q41" s="84"/>
      <c r="R41" s="84"/>
    </row>
    <row r="42" spans="2:18" ht="14.25">
      <c r="B42" s="87" t="s">
        <v>122</v>
      </c>
      <c r="C42" s="88"/>
      <c r="D42" s="88"/>
      <c r="E42" s="88">
        <f>E43</f>
        <v>2.954</v>
      </c>
      <c r="F42" s="88">
        <f>F43</f>
        <v>0</v>
      </c>
      <c r="G42" s="88">
        <f>G43</f>
        <v>8460</v>
      </c>
      <c r="H42" s="88">
        <f>H43+H44</f>
        <v>29540</v>
      </c>
      <c r="I42" s="89"/>
      <c r="J42" s="88">
        <f>J43+J44</f>
        <v>3.8</v>
      </c>
      <c r="K42" s="88">
        <f>K43+K44+K45</f>
        <v>75000</v>
      </c>
      <c r="L42" s="88">
        <f>L43+L44</f>
        <v>11400</v>
      </c>
      <c r="M42" s="88">
        <f>M43+M44+M45</f>
        <v>18000</v>
      </c>
      <c r="N42" s="84"/>
      <c r="O42" s="88">
        <f>O43+O44+O45</f>
        <v>0</v>
      </c>
      <c r="P42" s="88">
        <f>P43+P44+P45</f>
        <v>80336.1</v>
      </c>
      <c r="Q42" s="88">
        <f>Q43+Q44+Q45</f>
        <v>0</v>
      </c>
      <c r="R42" s="88">
        <f>R43+R44+R45</f>
        <v>0</v>
      </c>
    </row>
    <row r="43" spans="1:18" ht="48" hidden="1">
      <c r="A43" s="77" t="s">
        <v>124</v>
      </c>
      <c r="B43" s="270" t="s">
        <v>354</v>
      </c>
      <c r="C43" s="94" t="s">
        <v>115</v>
      </c>
      <c r="D43" s="95"/>
      <c r="E43" s="322">
        <v>2.954</v>
      </c>
      <c r="F43" s="95">
        <f>20000-20000</f>
        <v>0</v>
      </c>
      <c r="G43" s="95">
        <v>8460</v>
      </c>
      <c r="H43" s="95">
        <v>29540</v>
      </c>
      <c r="I43" s="85"/>
      <c r="J43" s="95"/>
      <c r="K43" s="95">
        <f>25000-25000</f>
        <v>0</v>
      </c>
      <c r="L43" s="95"/>
      <c r="M43" s="95"/>
      <c r="N43" s="85"/>
      <c r="O43" s="85"/>
      <c r="P43" s="85"/>
      <c r="Q43" s="85"/>
      <c r="R43" s="603"/>
    </row>
    <row r="44" spans="1:18" ht="36">
      <c r="A44" s="77" t="s">
        <v>124</v>
      </c>
      <c r="B44" s="591" t="s">
        <v>455</v>
      </c>
      <c r="C44" s="96" t="s">
        <v>115</v>
      </c>
      <c r="D44" s="97"/>
      <c r="E44" s="97"/>
      <c r="F44" s="97"/>
      <c r="G44" s="97"/>
      <c r="H44" s="97"/>
      <c r="I44" s="106"/>
      <c r="J44" s="97">
        <v>3.8</v>
      </c>
      <c r="K44" s="97"/>
      <c r="L44" s="97">
        <v>11400</v>
      </c>
      <c r="M44" s="97">
        <v>18000</v>
      </c>
      <c r="N44" s="106"/>
      <c r="O44" s="106"/>
      <c r="P44" s="106"/>
      <c r="Q44" s="106"/>
      <c r="R44" s="603"/>
    </row>
    <row r="45" spans="1:18" ht="24">
      <c r="A45" s="77" t="s">
        <v>117</v>
      </c>
      <c r="B45" s="784" t="s">
        <v>448</v>
      </c>
      <c r="C45" s="99"/>
      <c r="D45" s="98"/>
      <c r="E45" s="98"/>
      <c r="F45" s="98"/>
      <c r="G45" s="98"/>
      <c r="H45" s="98"/>
      <c r="I45" s="86"/>
      <c r="J45" s="98"/>
      <c r="K45" s="98">
        <v>75000</v>
      </c>
      <c r="L45" s="98"/>
      <c r="M45" s="98"/>
      <c r="N45" s="98" t="s">
        <v>449</v>
      </c>
      <c r="O45" s="86"/>
      <c r="P45" s="98">
        <v>80336.1</v>
      </c>
      <c r="Q45" s="86"/>
      <c r="R45" s="308"/>
    </row>
    <row r="46" spans="2:18" ht="14.25">
      <c r="B46" s="87" t="s">
        <v>236</v>
      </c>
      <c r="C46" s="90"/>
      <c r="D46" s="91"/>
      <c r="E46" s="88">
        <f aca="true" t="shared" si="2" ref="E46:M46">+E47</f>
        <v>0</v>
      </c>
      <c r="F46" s="88">
        <f t="shared" si="2"/>
        <v>0</v>
      </c>
      <c r="G46" s="88">
        <f t="shared" si="2"/>
        <v>0</v>
      </c>
      <c r="H46" s="88">
        <f t="shared" si="2"/>
        <v>0</v>
      </c>
      <c r="I46" s="88">
        <f t="shared" si="2"/>
        <v>0</v>
      </c>
      <c r="J46" s="88">
        <f t="shared" si="2"/>
        <v>0</v>
      </c>
      <c r="K46" s="88">
        <f t="shared" si="2"/>
        <v>0</v>
      </c>
      <c r="L46" s="88">
        <f t="shared" si="2"/>
        <v>0</v>
      </c>
      <c r="M46" s="88">
        <f t="shared" si="2"/>
        <v>0</v>
      </c>
      <c r="N46" s="84"/>
      <c r="O46" s="88">
        <f>+O47</f>
        <v>0.5</v>
      </c>
      <c r="P46" s="88">
        <f>+P47</f>
        <v>0</v>
      </c>
      <c r="Q46" s="88">
        <f>+Q47</f>
        <v>1500</v>
      </c>
      <c r="R46" s="88">
        <f>+R47</f>
        <v>5000</v>
      </c>
    </row>
    <row r="47" spans="1:18" ht="36">
      <c r="A47" s="77" t="s">
        <v>124</v>
      </c>
      <c r="B47" s="316" t="s">
        <v>450</v>
      </c>
      <c r="C47" s="99" t="s">
        <v>115</v>
      </c>
      <c r="D47" s="98"/>
      <c r="E47" s="98"/>
      <c r="F47" s="98"/>
      <c r="G47" s="98"/>
      <c r="H47" s="98"/>
      <c r="I47" s="86"/>
      <c r="J47" s="98"/>
      <c r="K47" s="98"/>
      <c r="L47" s="98"/>
      <c r="M47" s="98"/>
      <c r="N47" s="86"/>
      <c r="O47" s="98">
        <v>0.5</v>
      </c>
      <c r="P47" s="98"/>
      <c r="Q47" s="98">
        <v>1500</v>
      </c>
      <c r="R47" s="98">
        <v>5000</v>
      </c>
    </row>
    <row r="48" spans="2:18" ht="14.25">
      <c r="B48" s="92" t="s">
        <v>243</v>
      </c>
      <c r="C48" s="90"/>
      <c r="D48" s="91"/>
      <c r="E48" s="88">
        <f>E49</f>
        <v>0.7</v>
      </c>
      <c r="F48" s="88">
        <f>F49</f>
        <v>0</v>
      </c>
      <c r="G48" s="88">
        <f>G49</f>
        <v>2100</v>
      </c>
      <c r="H48" s="88">
        <f>H49</f>
        <v>7000</v>
      </c>
      <c r="I48" s="84"/>
      <c r="J48" s="607"/>
      <c r="K48" s="187"/>
      <c r="L48" s="91"/>
      <c r="M48" s="91"/>
      <c r="N48" s="84"/>
      <c r="O48" s="88">
        <f>O49+O50+O51</f>
        <v>5</v>
      </c>
      <c r="P48" s="88">
        <f>P49+P50+P51</f>
        <v>0</v>
      </c>
      <c r="Q48" s="88">
        <f>Q49+Q50+Q51</f>
        <v>15000</v>
      </c>
      <c r="R48" s="88">
        <f>R49+R50+R51</f>
        <v>50000</v>
      </c>
    </row>
    <row r="49" spans="1:18" ht="36" hidden="1">
      <c r="A49" s="77" t="s">
        <v>124</v>
      </c>
      <c r="B49" s="270" t="s">
        <v>369</v>
      </c>
      <c r="C49" s="94" t="s">
        <v>115</v>
      </c>
      <c r="D49" s="95"/>
      <c r="E49" s="134">
        <v>0.7</v>
      </c>
      <c r="F49" s="134"/>
      <c r="G49" s="366">
        <f>2100-394.6+394.6</f>
        <v>2100</v>
      </c>
      <c r="H49" s="134">
        <v>7000</v>
      </c>
      <c r="I49" s="85"/>
      <c r="J49" s="95"/>
      <c r="K49" s="95"/>
      <c r="L49" s="95"/>
      <c r="M49" s="95"/>
      <c r="N49" s="85"/>
      <c r="O49" s="85"/>
      <c r="P49" s="85"/>
      <c r="Q49" s="85"/>
      <c r="R49" s="85"/>
    </row>
    <row r="50" spans="2:18" ht="36" hidden="1">
      <c r="B50" s="591" t="s">
        <v>451</v>
      </c>
      <c r="C50" s="96" t="s">
        <v>115</v>
      </c>
      <c r="D50" s="97"/>
      <c r="E50" s="178"/>
      <c r="F50" s="178"/>
      <c r="G50" s="178"/>
      <c r="H50" s="178"/>
      <c r="I50" s="106"/>
      <c r="J50" s="97"/>
      <c r="K50" s="97"/>
      <c r="L50" s="97"/>
      <c r="M50" s="97"/>
      <c r="N50" s="106"/>
      <c r="O50" s="97">
        <f>5-5</f>
        <v>0</v>
      </c>
      <c r="P50" s="97"/>
      <c r="Q50" s="97">
        <f>15000-15000</f>
        <v>0</v>
      </c>
      <c r="R50" s="97">
        <f>50000-50000</f>
        <v>0</v>
      </c>
    </row>
    <row r="51" spans="2:18" ht="48">
      <c r="B51" s="316" t="s">
        <v>452</v>
      </c>
      <c r="C51" s="99"/>
      <c r="D51" s="98"/>
      <c r="E51" s="191"/>
      <c r="F51" s="191"/>
      <c r="G51" s="191"/>
      <c r="H51" s="191"/>
      <c r="I51" s="86"/>
      <c r="J51" s="98"/>
      <c r="K51" s="98"/>
      <c r="L51" s="98"/>
      <c r="M51" s="98"/>
      <c r="N51" s="86"/>
      <c r="O51" s="98">
        <v>5</v>
      </c>
      <c r="P51" s="98"/>
      <c r="Q51" s="98">
        <v>15000</v>
      </c>
      <c r="R51" s="98">
        <v>50000</v>
      </c>
    </row>
    <row r="52" spans="2:18" ht="14.25">
      <c r="B52" s="87" t="s">
        <v>245</v>
      </c>
      <c r="C52" s="90"/>
      <c r="D52" s="91"/>
      <c r="E52" s="88">
        <f>E53</f>
        <v>4.87</v>
      </c>
      <c r="F52" s="88">
        <f>F53</f>
        <v>0</v>
      </c>
      <c r="G52" s="88">
        <f>G53</f>
        <v>14030.9</v>
      </c>
      <c r="H52" s="88">
        <f>H53</f>
        <v>48700</v>
      </c>
      <c r="I52" s="84"/>
      <c r="J52" s="607"/>
      <c r="K52" s="187"/>
      <c r="L52" s="91"/>
      <c r="M52" s="91"/>
      <c r="N52" s="84"/>
      <c r="O52" s="88">
        <f>O55+O54</f>
        <v>6.9</v>
      </c>
      <c r="P52" s="88"/>
      <c r="Q52" s="88">
        <f>Q55+Q54</f>
        <v>20700</v>
      </c>
      <c r="R52" s="88">
        <f>R55+R54</f>
        <v>29000</v>
      </c>
    </row>
    <row r="53" spans="1:18" ht="36" hidden="1">
      <c r="A53" s="77" t="s">
        <v>124</v>
      </c>
      <c r="B53" s="270" t="s">
        <v>0</v>
      </c>
      <c r="C53" s="94" t="s">
        <v>115</v>
      </c>
      <c r="D53" s="95"/>
      <c r="E53" s="95">
        <v>4.87</v>
      </c>
      <c r="F53" s="95"/>
      <c r="G53" s="369">
        <f>14610-1079.1+500</f>
        <v>14030.9</v>
      </c>
      <c r="H53" s="95">
        <v>48700</v>
      </c>
      <c r="I53" s="85"/>
      <c r="J53" s="95"/>
      <c r="K53" s="95"/>
      <c r="L53" s="95"/>
      <c r="M53" s="95"/>
      <c r="N53" s="85"/>
      <c r="O53" s="85"/>
      <c r="P53" s="85"/>
      <c r="Q53" s="85"/>
      <c r="R53" s="85"/>
    </row>
    <row r="54" spans="2:18" ht="36">
      <c r="B54" s="608" t="s">
        <v>453</v>
      </c>
      <c r="C54" s="96" t="s">
        <v>115</v>
      </c>
      <c r="D54" s="190"/>
      <c r="E54" s="190"/>
      <c r="F54" s="190"/>
      <c r="G54" s="190"/>
      <c r="H54" s="190"/>
      <c r="I54" s="308"/>
      <c r="J54" s="190"/>
      <c r="K54" s="190"/>
      <c r="L54" s="190"/>
      <c r="M54" s="190"/>
      <c r="N54" s="308"/>
      <c r="O54" s="97">
        <v>3.8</v>
      </c>
      <c r="P54" s="97"/>
      <c r="Q54" s="97">
        <v>11400</v>
      </c>
      <c r="R54" s="97">
        <v>18000</v>
      </c>
    </row>
    <row r="55" spans="2:18" ht="36">
      <c r="B55" s="316" t="s">
        <v>464</v>
      </c>
      <c r="C55" s="99" t="s">
        <v>115</v>
      </c>
      <c r="D55" s="98"/>
      <c r="E55" s="98"/>
      <c r="F55" s="98"/>
      <c r="G55" s="98"/>
      <c r="H55" s="98"/>
      <c r="I55" s="86"/>
      <c r="J55" s="98"/>
      <c r="K55" s="98"/>
      <c r="L55" s="98"/>
      <c r="M55" s="98"/>
      <c r="N55" s="86"/>
      <c r="O55" s="98">
        <v>3.1</v>
      </c>
      <c r="P55" s="98"/>
      <c r="Q55" s="98">
        <v>9300</v>
      </c>
      <c r="R55" s="98">
        <v>11000</v>
      </c>
    </row>
    <row r="56" spans="2:18" ht="14.25">
      <c r="B56" s="87" t="s">
        <v>123</v>
      </c>
      <c r="C56" s="88"/>
      <c r="D56" s="88">
        <f>SUM(D57:D62)</f>
        <v>0</v>
      </c>
      <c r="E56" s="88">
        <f>SUM(E57:E62)</f>
        <v>2.5</v>
      </c>
      <c r="F56" s="88">
        <f>SUM(F57:F62)</f>
        <v>0</v>
      </c>
      <c r="G56" s="88">
        <f>SUM(G57:G62)</f>
        <v>730000.04</v>
      </c>
      <c r="H56" s="88"/>
      <c r="I56" s="88">
        <f>SUM(I57:I62)</f>
        <v>0</v>
      </c>
      <c r="J56" s="88">
        <f>SUM(J57:J62)</f>
        <v>4.27</v>
      </c>
      <c r="K56" s="88">
        <f>SUM(K57:K62)</f>
        <v>0</v>
      </c>
      <c r="L56" s="88">
        <f>SUM(L57:L62)</f>
        <v>1173000</v>
      </c>
      <c r="M56" s="88">
        <f>SUM(M57:M62)</f>
        <v>20000</v>
      </c>
      <c r="N56" s="84"/>
      <c r="O56" s="88">
        <f>SUM(O57:O62)</f>
        <v>0</v>
      </c>
      <c r="P56" s="88">
        <f>SUM(P57:P62)</f>
        <v>560000</v>
      </c>
      <c r="Q56" s="88">
        <f>SUM(Q57:Q62)</f>
        <v>220000</v>
      </c>
      <c r="R56" s="88"/>
    </row>
    <row r="57" spans="1:18" ht="107.25" customHeight="1" hidden="1">
      <c r="A57" s="77" t="s">
        <v>124</v>
      </c>
      <c r="B57" s="271" t="s">
        <v>126</v>
      </c>
      <c r="C57" s="94" t="s">
        <v>121</v>
      </c>
      <c r="D57" s="1"/>
      <c r="E57" s="95">
        <v>2.5</v>
      </c>
      <c r="F57" s="1"/>
      <c r="G57" s="95">
        <f>1960392.84-151475.8-258441.7-404747-596000-300000+216650+33621.7+180000</f>
        <v>680000.04</v>
      </c>
      <c r="H57" s="95"/>
      <c r="I57" s="85"/>
      <c r="J57" s="95"/>
      <c r="K57" s="95"/>
      <c r="L57" s="95"/>
      <c r="M57" s="95"/>
      <c r="N57" s="85"/>
      <c r="O57" s="85"/>
      <c r="P57" s="85"/>
      <c r="Q57" s="85"/>
      <c r="R57" s="603"/>
    </row>
    <row r="58" spans="1:18" ht="19.5">
      <c r="A58" s="77" t="s">
        <v>124</v>
      </c>
      <c r="B58" s="515" t="s">
        <v>154</v>
      </c>
      <c r="C58" s="131" t="s">
        <v>121</v>
      </c>
      <c r="D58" s="97"/>
      <c r="E58" s="97"/>
      <c r="F58" s="97"/>
      <c r="G58" s="97">
        <v>20000</v>
      </c>
      <c r="H58" s="106"/>
      <c r="I58" s="106"/>
      <c r="J58" s="106"/>
      <c r="K58" s="97"/>
      <c r="L58" s="97">
        <v>30000</v>
      </c>
      <c r="M58" s="97"/>
      <c r="N58" s="106"/>
      <c r="O58" s="106"/>
      <c r="P58" s="106"/>
      <c r="Q58" s="97">
        <v>30000</v>
      </c>
      <c r="R58" s="179"/>
    </row>
    <row r="59" spans="1:18" ht="36">
      <c r="A59" s="77" t="s">
        <v>124</v>
      </c>
      <c r="B59" s="515" t="s">
        <v>127</v>
      </c>
      <c r="C59" s="96" t="s">
        <v>351</v>
      </c>
      <c r="D59" s="97"/>
      <c r="E59" s="97"/>
      <c r="F59" s="97"/>
      <c r="G59" s="97">
        <v>30000</v>
      </c>
      <c r="H59" s="106"/>
      <c r="I59" s="106"/>
      <c r="J59" s="97">
        <v>2.27</v>
      </c>
      <c r="K59" s="106"/>
      <c r="L59" s="97">
        <f>22000-9000+18000</f>
        <v>31000</v>
      </c>
      <c r="M59" s="97"/>
      <c r="N59" s="106"/>
      <c r="O59" s="106"/>
      <c r="P59" s="106"/>
      <c r="Q59" s="97">
        <f>20000+20000</f>
        <v>40000</v>
      </c>
      <c r="R59" s="97"/>
    </row>
    <row r="60" spans="2:18" ht="24">
      <c r="B60" s="515" t="s">
        <v>465</v>
      </c>
      <c r="C60" s="96" t="s">
        <v>466</v>
      </c>
      <c r="D60" s="129"/>
      <c r="E60" s="129"/>
      <c r="F60" s="129"/>
      <c r="G60" s="129"/>
      <c r="H60" s="307"/>
      <c r="I60" s="176"/>
      <c r="J60" s="307"/>
      <c r="K60" s="129"/>
      <c r="L60" s="129">
        <v>680000</v>
      </c>
      <c r="M60" s="129"/>
      <c r="N60" s="129"/>
      <c r="O60" s="129"/>
      <c r="P60" s="129">
        <v>560000</v>
      </c>
      <c r="Q60" s="307"/>
      <c r="R60" s="307"/>
    </row>
    <row r="61" spans="2:18" ht="12.75">
      <c r="B61" s="515" t="s">
        <v>467</v>
      </c>
      <c r="C61" s="609"/>
      <c r="D61" s="129"/>
      <c r="E61" s="129"/>
      <c r="F61" s="129"/>
      <c r="G61" s="129"/>
      <c r="H61" s="129"/>
      <c r="I61" s="307"/>
      <c r="J61" s="129">
        <v>2</v>
      </c>
      <c r="K61" s="129"/>
      <c r="L61" s="129">
        <v>2000</v>
      </c>
      <c r="M61" s="129">
        <v>20000</v>
      </c>
      <c r="N61" s="307"/>
      <c r="O61" s="307"/>
      <c r="P61" s="307"/>
      <c r="Q61" s="129"/>
      <c r="R61" s="97"/>
    </row>
    <row r="62" spans="1:18" ht="36">
      <c r="A62" s="77" t="s">
        <v>124</v>
      </c>
      <c r="B62" s="272" t="s">
        <v>468</v>
      </c>
      <c r="C62" s="99" t="s">
        <v>466</v>
      </c>
      <c r="D62" s="98"/>
      <c r="E62" s="98"/>
      <c r="F62" s="98"/>
      <c r="G62" s="86"/>
      <c r="H62" s="86"/>
      <c r="I62" s="86"/>
      <c r="J62" s="98"/>
      <c r="K62" s="98"/>
      <c r="L62" s="98">
        <f>30000+400000</f>
        <v>430000</v>
      </c>
      <c r="M62" s="98"/>
      <c r="N62" s="86"/>
      <c r="O62" s="97"/>
      <c r="P62" s="86"/>
      <c r="Q62" s="98">
        <v>150000</v>
      </c>
      <c r="R62" s="98"/>
    </row>
    <row r="63" spans="2:18" ht="14.25">
      <c r="B63" s="92" t="s">
        <v>128</v>
      </c>
      <c r="C63" s="93"/>
      <c r="D63" s="89"/>
      <c r="E63" s="89">
        <f>E64+E65</f>
        <v>0.81063</v>
      </c>
      <c r="F63" s="89">
        <f>F64+F65</f>
        <v>569795.5</v>
      </c>
      <c r="G63" s="89">
        <f>G64+G65</f>
        <v>0</v>
      </c>
      <c r="H63" s="84"/>
      <c r="I63" s="84"/>
      <c r="J63" s="89">
        <f>J64+J65+J66</f>
        <v>10.49</v>
      </c>
      <c r="K63" s="89">
        <f>K64+K65+K66</f>
        <v>312197.03</v>
      </c>
      <c r="L63" s="89">
        <f>L64+L65+L66</f>
        <v>0</v>
      </c>
      <c r="M63" s="89">
        <f>M64+M65+M66</f>
        <v>0</v>
      </c>
      <c r="N63" s="89">
        <f>N64+N65</f>
        <v>0</v>
      </c>
      <c r="O63" s="89">
        <f>O64+O65</f>
        <v>0</v>
      </c>
      <c r="P63" s="89">
        <f>P64+P65</f>
        <v>250000</v>
      </c>
      <c r="Q63" s="89">
        <f>Q64+Q65</f>
        <v>0</v>
      </c>
      <c r="R63" s="89"/>
    </row>
    <row r="64" spans="1:18" ht="36" hidden="1">
      <c r="A64" s="77" t="s">
        <v>117</v>
      </c>
      <c r="B64" s="270" t="s">
        <v>135</v>
      </c>
      <c r="C64" s="94"/>
      <c r="D64" s="95" t="s">
        <v>155</v>
      </c>
      <c r="E64" s="95">
        <v>0.81063</v>
      </c>
      <c r="F64" s="95">
        <f>27148.6+59166+70563.3+27712.4-5000</f>
        <v>179590.30000000002</v>
      </c>
      <c r="G64" s="85"/>
      <c r="H64" s="85"/>
      <c r="I64" s="95"/>
      <c r="J64" s="85"/>
      <c r="K64" s="95"/>
      <c r="L64" s="85"/>
      <c r="M64" s="85"/>
      <c r="N64" s="85"/>
      <c r="O64" s="85"/>
      <c r="P64" s="85"/>
      <c r="Q64" s="85"/>
      <c r="R64" s="85"/>
    </row>
    <row r="65" spans="1:18" ht="33.75" customHeight="1">
      <c r="A65" s="77" t="s">
        <v>124</v>
      </c>
      <c r="B65" s="591" t="s">
        <v>469</v>
      </c>
      <c r="C65" s="131" t="s">
        <v>121</v>
      </c>
      <c r="D65" s="97"/>
      <c r="E65" s="97"/>
      <c r="F65" s="97">
        <f>19205.2+371000</f>
        <v>390205.2</v>
      </c>
      <c r="G65" s="97"/>
      <c r="H65" s="106"/>
      <c r="I65" s="97"/>
      <c r="J65" s="97">
        <v>10.49</v>
      </c>
      <c r="K65" s="97">
        <f>50000+262197.03</f>
        <v>312197.03</v>
      </c>
      <c r="L65" s="106"/>
      <c r="M65" s="106"/>
      <c r="N65" s="106"/>
      <c r="O65" s="106"/>
      <c r="P65" s="97">
        <v>250000</v>
      </c>
      <c r="Q65" s="106"/>
      <c r="R65" s="106"/>
    </row>
    <row r="66" spans="1:18" ht="36" hidden="1">
      <c r="A66" s="77" t="s">
        <v>124</v>
      </c>
      <c r="B66" s="316" t="s">
        <v>470</v>
      </c>
      <c r="C66" s="610" t="s">
        <v>115</v>
      </c>
      <c r="D66" s="611"/>
      <c r="E66" s="611"/>
      <c r="F66" s="611"/>
      <c r="G66" s="611"/>
      <c r="H66" s="612"/>
      <c r="I66" s="611"/>
      <c r="J66" s="611">
        <f>2.2-2.2</f>
        <v>0</v>
      </c>
      <c r="K66" s="611"/>
      <c r="L66" s="611">
        <f>6600-6600</f>
        <v>0</v>
      </c>
      <c r="M66" s="611">
        <f>22000-22000</f>
        <v>0</v>
      </c>
      <c r="N66" s="612"/>
      <c r="O66" s="612"/>
      <c r="P66" s="611"/>
      <c r="Q66" s="612"/>
      <c r="R66" s="613"/>
    </row>
    <row r="67" spans="2:18" ht="14.25" hidden="1">
      <c r="B67" s="87" t="s">
        <v>259</v>
      </c>
      <c r="C67" s="274"/>
      <c r="D67" s="187"/>
      <c r="E67" s="88">
        <f>E68</f>
        <v>3.9</v>
      </c>
      <c r="F67" s="88">
        <f>F68</f>
        <v>0</v>
      </c>
      <c r="G67" s="88">
        <f>G68</f>
        <v>11700</v>
      </c>
      <c r="H67" s="88">
        <f>H68</f>
        <v>39000</v>
      </c>
      <c r="I67" s="187"/>
      <c r="J67" s="187"/>
      <c r="K67" s="187"/>
      <c r="L67" s="241"/>
      <c r="M67" s="241"/>
      <c r="N67" s="241"/>
      <c r="O67" s="88">
        <f>O68</f>
        <v>0</v>
      </c>
      <c r="P67" s="88"/>
      <c r="Q67" s="88">
        <f>Q68</f>
        <v>0</v>
      </c>
      <c r="R67" s="88">
        <f>R68</f>
        <v>0</v>
      </c>
    </row>
    <row r="68" spans="1:18" ht="48" hidden="1">
      <c r="A68" s="77" t="s">
        <v>124</v>
      </c>
      <c r="B68" s="270" t="s">
        <v>370</v>
      </c>
      <c r="C68" s="90" t="s">
        <v>115</v>
      </c>
      <c r="D68" s="91"/>
      <c r="E68" s="91">
        <v>3.9</v>
      </c>
      <c r="F68" s="91"/>
      <c r="G68" s="91">
        <v>11700</v>
      </c>
      <c r="H68" s="91">
        <v>39000</v>
      </c>
      <c r="I68" s="91"/>
      <c r="J68" s="91"/>
      <c r="K68" s="95"/>
      <c r="L68" s="85"/>
      <c r="M68" s="85"/>
      <c r="N68" s="85"/>
      <c r="O68" s="85"/>
      <c r="P68" s="95"/>
      <c r="Q68" s="85"/>
      <c r="R68" s="85"/>
    </row>
    <row r="69" spans="2:18" ht="14.25">
      <c r="B69" s="87" t="s">
        <v>263</v>
      </c>
      <c r="C69" s="274"/>
      <c r="D69" s="187"/>
      <c r="E69" s="265">
        <f>E70</f>
        <v>4.2</v>
      </c>
      <c r="F69" s="265">
        <f>F70+F71</f>
        <v>65000</v>
      </c>
      <c r="G69" s="265">
        <f>G70+G71</f>
        <v>12600</v>
      </c>
      <c r="H69" s="265">
        <f>H70+H71</f>
        <v>42000</v>
      </c>
      <c r="I69" s="187"/>
      <c r="J69" s="265">
        <f>J70+J71</f>
        <v>2.18</v>
      </c>
      <c r="K69" s="88">
        <f>K70+K71</f>
        <v>59328</v>
      </c>
      <c r="L69" s="88">
        <f>L70+L71</f>
        <v>0</v>
      </c>
      <c r="M69" s="88">
        <f>M70+M71</f>
        <v>0</v>
      </c>
      <c r="N69" s="88"/>
      <c r="O69" s="88">
        <f>O70+O71</f>
        <v>0</v>
      </c>
      <c r="P69" s="88">
        <f>P70+P71</f>
        <v>0</v>
      </c>
      <c r="Q69" s="88">
        <f>Q70+Q71</f>
        <v>0</v>
      </c>
      <c r="R69" s="88"/>
    </row>
    <row r="70" spans="1:18" ht="36" hidden="1">
      <c r="A70" s="77" t="s">
        <v>124</v>
      </c>
      <c r="B70" s="270" t="s">
        <v>371</v>
      </c>
      <c r="C70" s="94" t="s">
        <v>115</v>
      </c>
      <c r="D70" s="95"/>
      <c r="E70" s="95">
        <v>4.2</v>
      </c>
      <c r="F70" s="95"/>
      <c r="G70" s="95">
        <v>12600</v>
      </c>
      <c r="H70" s="95">
        <v>42000</v>
      </c>
      <c r="I70" s="95"/>
      <c r="J70" s="95"/>
      <c r="K70" s="95"/>
      <c r="L70" s="85"/>
      <c r="M70" s="85"/>
      <c r="N70" s="85"/>
      <c r="O70" s="85"/>
      <c r="P70" s="95"/>
      <c r="Q70" s="85"/>
      <c r="R70" s="603"/>
    </row>
    <row r="71" spans="1:18" ht="36">
      <c r="A71" s="77" t="s">
        <v>117</v>
      </c>
      <c r="B71" s="785" t="s">
        <v>138</v>
      </c>
      <c r="C71" s="99"/>
      <c r="D71" s="98"/>
      <c r="E71" s="98"/>
      <c r="F71" s="98">
        <v>65000</v>
      </c>
      <c r="G71" s="98"/>
      <c r="H71" s="86"/>
      <c r="I71" s="174" t="s">
        <v>471</v>
      </c>
      <c r="J71" s="98">
        <v>2.18</v>
      </c>
      <c r="K71" s="98">
        <v>59328</v>
      </c>
      <c r="L71" s="98"/>
      <c r="M71" s="86"/>
      <c r="N71" s="174"/>
      <c r="O71" s="98"/>
      <c r="P71" s="98"/>
      <c r="Q71" s="86"/>
      <c r="R71" s="308"/>
    </row>
    <row r="72" spans="2:18" ht="14.25">
      <c r="B72" s="87" t="s">
        <v>267</v>
      </c>
      <c r="C72" s="274"/>
      <c r="D72" s="187"/>
      <c r="E72" s="88">
        <f>E73</f>
        <v>2.447</v>
      </c>
      <c r="F72" s="88">
        <f>F73</f>
        <v>0</v>
      </c>
      <c r="G72" s="88">
        <f>G73</f>
        <v>9866.6</v>
      </c>
      <c r="H72" s="88">
        <f>H73+H74</f>
        <v>24000</v>
      </c>
      <c r="I72" s="187"/>
      <c r="J72" s="88">
        <f>J73+J74</f>
        <v>3.4</v>
      </c>
      <c r="K72" s="88">
        <f>K73+K74</f>
        <v>0</v>
      </c>
      <c r="L72" s="88">
        <f>L73+L74</f>
        <v>10200</v>
      </c>
      <c r="M72" s="88">
        <f>M73+M74</f>
        <v>19273</v>
      </c>
      <c r="N72" s="241"/>
      <c r="O72" s="241"/>
      <c r="P72" s="187"/>
      <c r="Q72" s="241"/>
      <c r="R72" s="84"/>
    </row>
    <row r="73" spans="1:18" ht="36" hidden="1">
      <c r="A73" s="77" t="s">
        <v>124</v>
      </c>
      <c r="B73" s="270" t="s">
        <v>390</v>
      </c>
      <c r="C73" s="94" t="s">
        <v>115</v>
      </c>
      <c r="D73" s="95"/>
      <c r="E73" s="369">
        <v>2.447</v>
      </c>
      <c r="F73" s="95"/>
      <c r="G73" s="369">
        <f>7200+2666.6</f>
        <v>9866.6</v>
      </c>
      <c r="H73" s="95">
        <v>24000</v>
      </c>
      <c r="I73" s="95"/>
      <c r="J73" s="95"/>
      <c r="K73" s="95"/>
      <c r="L73" s="85"/>
      <c r="M73" s="85"/>
      <c r="N73" s="85"/>
      <c r="O73" s="85"/>
      <c r="P73" s="95"/>
      <c r="Q73" s="85"/>
      <c r="R73" s="603"/>
    </row>
    <row r="74" spans="1:18" ht="38.25">
      <c r="A74" s="77" t="s">
        <v>124</v>
      </c>
      <c r="B74" s="604" t="s">
        <v>472</v>
      </c>
      <c r="C74" s="99" t="s">
        <v>115</v>
      </c>
      <c r="D74" s="98"/>
      <c r="E74" s="98"/>
      <c r="F74" s="98"/>
      <c r="G74" s="98"/>
      <c r="H74" s="98"/>
      <c r="I74" s="98"/>
      <c r="J74" s="98">
        <v>3.4</v>
      </c>
      <c r="K74" s="98"/>
      <c r="L74" s="98">
        <v>10200</v>
      </c>
      <c r="M74" s="98">
        <v>19273</v>
      </c>
      <c r="N74" s="86"/>
      <c r="O74" s="86"/>
      <c r="P74" s="98"/>
      <c r="Q74" s="86"/>
      <c r="R74" s="308"/>
    </row>
    <row r="75" spans="2:18" ht="14.25" hidden="1">
      <c r="B75" s="87" t="s">
        <v>270</v>
      </c>
      <c r="C75" s="274"/>
      <c r="D75" s="187"/>
      <c r="E75" s="88">
        <f>E76</f>
        <v>4.8</v>
      </c>
      <c r="F75" s="88">
        <f>F76</f>
        <v>0</v>
      </c>
      <c r="G75" s="88">
        <f>G76</f>
        <v>2522</v>
      </c>
      <c r="H75" s="88">
        <f>H76</f>
        <v>48000</v>
      </c>
      <c r="I75" s="187"/>
      <c r="J75" s="187"/>
      <c r="K75" s="187"/>
      <c r="L75" s="241"/>
      <c r="M75" s="241"/>
      <c r="N75" s="241"/>
      <c r="O75" s="241"/>
      <c r="P75" s="187"/>
      <c r="Q75" s="241"/>
      <c r="R75" s="84"/>
    </row>
    <row r="76" spans="1:18" ht="36" hidden="1">
      <c r="A76" s="77" t="s">
        <v>124</v>
      </c>
      <c r="B76" s="270" t="s">
        <v>391</v>
      </c>
      <c r="C76" s="99" t="s">
        <v>115</v>
      </c>
      <c r="D76" s="187"/>
      <c r="E76" s="187">
        <v>4.8</v>
      </c>
      <c r="F76" s="187"/>
      <c r="G76" s="606">
        <f>14400-12378+500</f>
        <v>2522</v>
      </c>
      <c r="H76" s="187">
        <f>48000</f>
        <v>48000</v>
      </c>
      <c r="I76" s="187"/>
      <c r="J76" s="187"/>
      <c r="K76" s="187"/>
      <c r="L76" s="241"/>
      <c r="M76" s="241"/>
      <c r="N76" s="241"/>
      <c r="O76" s="241"/>
      <c r="P76" s="187"/>
      <c r="Q76" s="241"/>
      <c r="R76" s="308"/>
    </row>
    <row r="77" spans="2:18" ht="14.25">
      <c r="B77" s="87" t="s">
        <v>273</v>
      </c>
      <c r="C77" s="274"/>
      <c r="D77" s="187"/>
      <c r="E77" s="187"/>
      <c r="F77" s="187"/>
      <c r="G77" s="187"/>
      <c r="H77" s="187"/>
      <c r="I77" s="187"/>
      <c r="J77" s="88">
        <f>J78</f>
        <v>1.6</v>
      </c>
      <c r="K77" s="88"/>
      <c r="L77" s="88">
        <f>L78</f>
        <v>4800</v>
      </c>
      <c r="M77" s="88">
        <f>M78</f>
        <v>16000</v>
      </c>
      <c r="N77" s="241"/>
      <c r="O77" s="241"/>
      <c r="P77" s="187"/>
      <c r="Q77" s="241"/>
      <c r="R77" s="84"/>
    </row>
    <row r="78" spans="1:18" ht="48">
      <c r="A78" s="77" t="s">
        <v>124</v>
      </c>
      <c r="B78" s="270" t="s">
        <v>473</v>
      </c>
      <c r="C78" s="99" t="s">
        <v>115</v>
      </c>
      <c r="D78" s="187"/>
      <c r="E78" s="187"/>
      <c r="F78" s="187"/>
      <c r="G78" s="187"/>
      <c r="H78" s="187"/>
      <c r="I78" s="187"/>
      <c r="J78" s="187">
        <v>1.6</v>
      </c>
      <c r="K78" s="187"/>
      <c r="L78" s="187">
        <v>4800</v>
      </c>
      <c r="M78" s="187">
        <v>16000</v>
      </c>
      <c r="N78" s="241"/>
      <c r="O78" s="241"/>
      <c r="P78" s="187"/>
      <c r="Q78" s="241"/>
      <c r="R78" s="308"/>
    </row>
    <row r="79" spans="2:18" ht="14.25">
      <c r="B79" s="87" t="s">
        <v>129</v>
      </c>
      <c r="C79" s="88"/>
      <c r="D79" s="88"/>
      <c r="E79" s="88">
        <f>E80</f>
        <v>4</v>
      </c>
      <c r="F79" s="88">
        <f>F80</f>
        <v>0</v>
      </c>
      <c r="G79" s="88">
        <f>G80</f>
        <v>38000</v>
      </c>
      <c r="H79" s="88">
        <f>H80+H81+H82</f>
        <v>40000</v>
      </c>
      <c r="I79" s="88">
        <f>I80</f>
        <v>0</v>
      </c>
      <c r="J79" s="88">
        <f>J80+J81+J82</f>
        <v>0.4</v>
      </c>
      <c r="K79" s="88">
        <f>K80+K81+K82</f>
        <v>0</v>
      </c>
      <c r="L79" s="88">
        <f>L80+L81+L82</f>
        <v>1200</v>
      </c>
      <c r="M79" s="88">
        <f>M80+M81+M82</f>
        <v>3000</v>
      </c>
      <c r="N79" s="84"/>
      <c r="O79" s="88">
        <f>O80+O82</f>
        <v>1.9</v>
      </c>
      <c r="P79" s="88">
        <f>P80+P82</f>
        <v>0</v>
      </c>
      <c r="Q79" s="88">
        <f>Q80+Q82</f>
        <v>5700</v>
      </c>
      <c r="R79" s="88">
        <f>R80+R82</f>
        <v>9000</v>
      </c>
    </row>
    <row r="80" spans="1:18" ht="60" hidden="1">
      <c r="A80" s="77" t="s">
        <v>124</v>
      </c>
      <c r="B80" s="510" t="s">
        <v>1</v>
      </c>
      <c r="C80" s="614" t="s">
        <v>352</v>
      </c>
      <c r="D80" s="133"/>
      <c r="E80" s="95">
        <v>4</v>
      </c>
      <c r="F80" s="95"/>
      <c r="G80" s="95">
        <v>38000</v>
      </c>
      <c r="H80" s="95">
        <v>40000</v>
      </c>
      <c r="I80" s="85"/>
      <c r="J80" s="85"/>
      <c r="K80" s="95"/>
      <c r="L80" s="85"/>
      <c r="M80" s="85"/>
      <c r="N80" s="85"/>
      <c r="O80" s="85"/>
      <c r="P80" s="85"/>
      <c r="Q80" s="85"/>
      <c r="R80" s="85"/>
    </row>
    <row r="81" spans="2:18" ht="36">
      <c r="B81" s="688" t="s">
        <v>474</v>
      </c>
      <c r="C81" s="96" t="s">
        <v>115</v>
      </c>
      <c r="D81" s="185"/>
      <c r="E81" s="190"/>
      <c r="F81" s="190"/>
      <c r="G81" s="190"/>
      <c r="H81" s="190"/>
      <c r="I81" s="308"/>
      <c r="J81" s="97">
        <v>0.4</v>
      </c>
      <c r="K81" s="190"/>
      <c r="L81" s="97">
        <v>1200</v>
      </c>
      <c r="M81" s="97">
        <f>4000-1000</f>
        <v>3000</v>
      </c>
      <c r="N81" s="308"/>
      <c r="O81" s="308"/>
      <c r="P81" s="308"/>
      <c r="Q81" s="308"/>
      <c r="R81" s="308"/>
    </row>
    <row r="82" spans="2:18" ht="49.5">
      <c r="B82" s="316" t="s">
        <v>477</v>
      </c>
      <c r="C82" s="99" t="s">
        <v>115</v>
      </c>
      <c r="D82" s="136"/>
      <c r="E82" s="98"/>
      <c r="F82" s="98"/>
      <c r="G82" s="98"/>
      <c r="H82" s="98"/>
      <c r="I82" s="86"/>
      <c r="J82" s="86"/>
      <c r="K82" s="98"/>
      <c r="L82" s="86"/>
      <c r="M82" s="86"/>
      <c r="N82" s="86"/>
      <c r="O82" s="98">
        <v>1.9</v>
      </c>
      <c r="P82" s="98"/>
      <c r="Q82" s="98">
        <v>5700</v>
      </c>
      <c r="R82" s="98">
        <v>9000</v>
      </c>
    </row>
    <row r="83" spans="2:18" ht="14.25" hidden="1">
      <c r="B83" s="181" t="s">
        <v>280</v>
      </c>
      <c r="C83" s="275"/>
      <c r="D83" s="265"/>
      <c r="E83" s="88">
        <f>E84</f>
        <v>0</v>
      </c>
      <c r="F83" s="187"/>
      <c r="G83" s="88">
        <f>G84</f>
        <v>0</v>
      </c>
      <c r="H83" s="88">
        <f>H84</f>
        <v>0</v>
      </c>
      <c r="I83" s="241"/>
      <c r="J83" s="88">
        <f>J84</f>
        <v>0</v>
      </c>
      <c r="K83" s="187"/>
      <c r="L83" s="88">
        <f>L84</f>
        <v>0</v>
      </c>
      <c r="M83" s="88">
        <f>M84</f>
        <v>0</v>
      </c>
      <c r="N83" s="241"/>
      <c r="O83" s="241"/>
      <c r="P83" s="241"/>
      <c r="Q83" s="241"/>
      <c r="R83" s="84"/>
    </row>
    <row r="84" spans="2:18" ht="12.75" hidden="1">
      <c r="B84" s="1007" t="s">
        <v>475</v>
      </c>
      <c r="C84" s="615"/>
      <c r="D84" s="616"/>
      <c r="E84" s="617"/>
      <c r="F84" s="617"/>
      <c r="G84" s="617"/>
      <c r="H84" s="617"/>
      <c r="I84" s="618"/>
      <c r="J84" s="617">
        <f>2.3-2.3</f>
        <v>0</v>
      </c>
      <c r="K84" s="617"/>
      <c r="L84" s="617">
        <f>4900-4900</f>
        <v>0</v>
      </c>
      <c r="M84" s="617">
        <f>15000-15000</f>
        <v>0</v>
      </c>
      <c r="N84" s="618"/>
      <c r="O84" s="618"/>
      <c r="P84" s="618"/>
      <c r="Q84" s="618"/>
      <c r="R84" s="619"/>
    </row>
    <row r="85" spans="2:18" ht="14.25">
      <c r="B85" s="87" t="s">
        <v>287</v>
      </c>
      <c r="C85" s="275"/>
      <c r="D85" s="265"/>
      <c r="E85" s="88">
        <f>E86</f>
        <v>2.7</v>
      </c>
      <c r="F85" s="88">
        <f>F86</f>
        <v>0</v>
      </c>
      <c r="G85" s="88">
        <f>G86</f>
        <v>5290</v>
      </c>
      <c r="H85" s="88">
        <f>H86</f>
        <v>27000</v>
      </c>
      <c r="I85" s="241"/>
      <c r="J85" s="88">
        <f>J86</f>
        <v>0</v>
      </c>
      <c r="K85" s="88">
        <f>K86</f>
        <v>0</v>
      </c>
      <c r="L85" s="88">
        <f>L86</f>
        <v>0</v>
      </c>
      <c r="M85" s="88">
        <f>M86</f>
        <v>0</v>
      </c>
      <c r="N85" s="88">
        <f>N86</f>
        <v>0</v>
      </c>
      <c r="O85" s="88">
        <f>O86+O88+O87</f>
        <v>6.1</v>
      </c>
      <c r="P85" s="88">
        <f>P86+P88</f>
        <v>0</v>
      </c>
      <c r="Q85" s="88">
        <f>Q86+Q88+Q87</f>
        <v>18300</v>
      </c>
      <c r="R85" s="88">
        <f>R86+R88+R87</f>
        <v>26000</v>
      </c>
    </row>
    <row r="86" spans="1:18" ht="48" hidden="1">
      <c r="A86" s="77" t="s">
        <v>124</v>
      </c>
      <c r="B86" s="270" t="s">
        <v>392</v>
      </c>
      <c r="C86" s="94" t="s">
        <v>115</v>
      </c>
      <c r="D86" s="133"/>
      <c r="E86" s="95">
        <v>2.7</v>
      </c>
      <c r="F86" s="95"/>
      <c r="G86" s="369">
        <f>8100-3310+500</f>
        <v>5290</v>
      </c>
      <c r="H86" s="95">
        <v>27000</v>
      </c>
      <c r="I86" s="85"/>
      <c r="J86" s="85"/>
      <c r="K86" s="95"/>
      <c r="L86" s="85"/>
      <c r="M86" s="85"/>
      <c r="N86" s="85"/>
      <c r="O86" s="85"/>
      <c r="P86" s="85"/>
      <c r="Q86" s="85"/>
      <c r="R86" s="85"/>
    </row>
    <row r="87" spans="2:18" ht="48">
      <c r="B87" s="608" t="s">
        <v>476</v>
      </c>
      <c r="C87" s="96" t="s">
        <v>115</v>
      </c>
      <c r="D87" s="199"/>
      <c r="E87" s="190"/>
      <c r="F87" s="190"/>
      <c r="G87" s="190"/>
      <c r="H87" s="190"/>
      <c r="I87" s="308"/>
      <c r="J87" s="308"/>
      <c r="K87" s="190"/>
      <c r="L87" s="308"/>
      <c r="M87" s="308"/>
      <c r="N87" s="308"/>
      <c r="O87" s="97">
        <v>5</v>
      </c>
      <c r="P87" s="97"/>
      <c r="Q87" s="97">
        <v>15000</v>
      </c>
      <c r="R87" s="97">
        <v>20000</v>
      </c>
    </row>
    <row r="88" spans="2:18" ht="36">
      <c r="B88" s="316" t="s">
        <v>456</v>
      </c>
      <c r="C88" s="99" t="s">
        <v>115</v>
      </c>
      <c r="D88" s="136"/>
      <c r="E88" s="98"/>
      <c r="F88" s="98"/>
      <c r="G88" s="98"/>
      <c r="H88" s="98"/>
      <c r="I88" s="86"/>
      <c r="J88" s="86"/>
      <c r="K88" s="98"/>
      <c r="L88" s="86"/>
      <c r="M88" s="86"/>
      <c r="N88" s="86"/>
      <c r="O88" s="98">
        <v>1.1</v>
      </c>
      <c r="P88" s="98"/>
      <c r="Q88" s="98">
        <v>3300</v>
      </c>
      <c r="R88" s="98">
        <v>6000</v>
      </c>
    </row>
    <row r="89" spans="2:18" ht="14.25" customHeight="1">
      <c r="B89" s="100" t="s">
        <v>130</v>
      </c>
      <c r="C89" s="101">
        <v>0</v>
      </c>
      <c r="D89" s="102">
        <v>2</v>
      </c>
      <c r="E89" s="102">
        <f>E17+E26+E42+E63+E79+E56+E12+E20+E46+E48+E52+E67+E69+E72+E75+E85+E77+E36+E8+E32+E29+E14+E34+E40+E83+E24</f>
        <v>44.55863</v>
      </c>
      <c r="F89" s="102">
        <f>F17+F26+F42+F63+F79+F56+F12+F20+F46+F48+F52+F67+F69+F72+F75+F85+F77+F36+F8+F32+F29+F14+F34+F40+F83+F24</f>
        <v>743885.9</v>
      </c>
      <c r="G89" s="102">
        <f>G17+G26+G42+G63+G79+G56+G12+G20+G46+G48+G52+G67+G69+G72+G75+G85+G77+G36+G8+G32+G29+G14+G34+G40+G83+G24</f>
        <v>910954.04</v>
      </c>
      <c r="H89" s="102">
        <f>H17+H26+H42+H63+H79+H56+H12+H20+H46+H48+H52+H67+H69+H72+H75+H85+H77+H36+H8+H32+H29+H14+H34+H40+H83+H24</f>
        <v>441270</v>
      </c>
      <c r="I89" s="102">
        <v>2</v>
      </c>
      <c r="J89" s="102">
        <f>J17+J26+J42+J63+J79+J56+J12+J20+J46+J48+J52+J67+J69+J72+J75+J85+J77+J36+J8+J32+J29+J14+J34+J40+J83+J24</f>
        <v>48.989</v>
      </c>
      <c r="K89" s="102">
        <f>K17+K26+K42+K63+K79+K56+K12+K20+K46+K48+K52+K67+K69+K72+K75+K85+K77+K36+K8+K32+K29+K14+K34+K40+K83+K24</f>
        <v>446525.03</v>
      </c>
      <c r="L89" s="102">
        <f>L17+L26+L42+L63+L79+L56+L12+L20+L46+L48+L52+L67+L69+L72+L75+L85+L77+L36+L8+L32+L29+L14+L34+L40+L83+L24</f>
        <v>1311399.3</v>
      </c>
      <c r="M89" s="102">
        <f>M17+M26+M42+M63+M79+M56+M12+M20+M46+M48+M52+M67+M69+M72+M75+M85+M77+M36+M8+M32+M29+M14+M34+M40+M83+M24</f>
        <v>189273</v>
      </c>
      <c r="N89" s="102">
        <v>1</v>
      </c>
      <c r="O89" s="102">
        <f>O17+O26+O42+O63+O79+O56+O12+O20+O46+O48+O52+O67+O69+O72+O75+O85+O77+O36+O8+O32+O29+O14+O34+O40+O83+O24</f>
        <v>35.7</v>
      </c>
      <c r="P89" s="102">
        <f>P17+P26+P42+P63+P79+P56+P12+P20+P46+P48+P52+P67+P69+P72+P75+P85+P77+P36+P8+P32+P29+P14+P34+P40+P83+P24</f>
        <v>890336.1</v>
      </c>
      <c r="Q89" s="102">
        <f>Q17+Q26+Q42+Q63+Q79+Q56+Q12+Q20+Q46+Q48+Q52+Q67+Q69+Q72+Q75+Q85+Q77+Q36+Q8+Q32+Q29+Q14+Q34+Q40+Q83+Q24</f>
        <v>327100</v>
      </c>
      <c r="R89" s="102">
        <f>R17+R26+R42+R63+R79+R56+R12+R20+R46+R48+R52+R67+R69+R72+R75+R85+R77+R36+R8+R32+R29+R14+R34+R40+R83+R24</f>
        <v>189273</v>
      </c>
    </row>
    <row r="90" spans="2:18" ht="13.5" customHeight="1">
      <c r="B90" s="103" t="s">
        <v>131</v>
      </c>
      <c r="C90" s="104"/>
      <c r="D90" s="105"/>
      <c r="E90" s="105"/>
      <c r="F90" s="10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2:18" ht="12.75">
      <c r="B91" s="137" t="s">
        <v>132</v>
      </c>
      <c r="C91" s="107"/>
      <c r="D91" s="108"/>
      <c r="E91" s="108"/>
      <c r="F91" s="108">
        <v>15000</v>
      </c>
      <c r="G91" s="620">
        <f>24500-610-0.1-394.6-500-500-500</f>
        <v>21995.300000000003</v>
      </c>
      <c r="H91" s="86"/>
      <c r="I91" s="86"/>
      <c r="J91" s="86"/>
      <c r="K91" s="108">
        <v>12000</v>
      </c>
      <c r="L91" s="108">
        <f>23500+300-257</f>
        <v>23543</v>
      </c>
      <c r="M91" s="108"/>
      <c r="N91" s="86"/>
      <c r="O91" s="86"/>
      <c r="P91" s="108">
        <v>11000</v>
      </c>
      <c r="Q91" s="108">
        <v>8000</v>
      </c>
      <c r="R91" s="108"/>
    </row>
    <row r="92" spans="2:18" ht="12" customHeight="1">
      <c r="B92" s="100" t="s">
        <v>133</v>
      </c>
      <c r="C92" s="101"/>
      <c r="D92" s="102">
        <f aca="true" t="shared" si="3" ref="D92:R92">SUM(D89:D91)</f>
        <v>2</v>
      </c>
      <c r="E92" s="102">
        <f t="shared" si="3"/>
        <v>44.55863</v>
      </c>
      <c r="F92" s="102">
        <f t="shared" si="3"/>
        <v>758885.9</v>
      </c>
      <c r="G92" s="102">
        <f t="shared" si="3"/>
        <v>932949.3400000001</v>
      </c>
      <c r="H92" s="102">
        <f t="shared" si="3"/>
        <v>441270</v>
      </c>
      <c r="I92" s="102">
        <f t="shared" si="3"/>
        <v>2</v>
      </c>
      <c r="J92" s="102">
        <f t="shared" si="3"/>
        <v>48.989</v>
      </c>
      <c r="K92" s="102">
        <f t="shared" si="3"/>
        <v>458525.03</v>
      </c>
      <c r="L92" s="102">
        <f t="shared" si="3"/>
        <v>1334942.3</v>
      </c>
      <c r="M92" s="102">
        <f t="shared" si="3"/>
        <v>189273</v>
      </c>
      <c r="N92" s="102">
        <f t="shared" si="3"/>
        <v>1</v>
      </c>
      <c r="O92" s="102">
        <f t="shared" si="3"/>
        <v>35.7</v>
      </c>
      <c r="P92" s="102">
        <f t="shared" si="3"/>
        <v>901336.1</v>
      </c>
      <c r="Q92" s="102">
        <f t="shared" si="3"/>
        <v>335100</v>
      </c>
      <c r="R92" s="102">
        <f t="shared" si="3"/>
        <v>189273</v>
      </c>
    </row>
    <row r="93" spans="2:14" ht="12.75">
      <c r="B93" s="120"/>
      <c r="C93" s="121"/>
      <c r="D93" s="117"/>
      <c r="E93" s="117"/>
      <c r="F93" s="117"/>
      <c r="G93" s="114" t="e">
        <f>G92-#REF!</f>
        <v>#REF!</v>
      </c>
      <c r="H93" s="113"/>
      <c r="I93" s="113"/>
      <c r="J93" s="113"/>
      <c r="K93" s="113"/>
      <c r="L93" s="113"/>
      <c r="M93" s="113"/>
      <c r="N93" s="113"/>
    </row>
    <row r="94" spans="2:14" ht="14.25">
      <c r="B94" s="118"/>
      <c r="C94" s="119"/>
      <c r="D94" s="119"/>
      <c r="E94" s="119"/>
      <c r="F94" s="119"/>
      <c r="G94" s="113"/>
      <c r="H94" s="113"/>
      <c r="I94" s="113"/>
      <c r="J94" s="113"/>
      <c r="K94" s="113"/>
      <c r="L94" s="113"/>
      <c r="M94" s="113"/>
      <c r="N94" s="113"/>
    </row>
    <row r="95" spans="2:14" ht="12.75">
      <c r="B95" s="115"/>
      <c r="C95" s="116"/>
      <c r="D95" s="117"/>
      <c r="E95" s="117"/>
      <c r="F95" s="117"/>
      <c r="G95" s="113"/>
      <c r="H95" s="113"/>
      <c r="I95" s="113"/>
      <c r="J95" s="113"/>
      <c r="K95" s="113"/>
      <c r="L95" s="113"/>
      <c r="M95" s="113"/>
      <c r="N95" s="113"/>
    </row>
    <row r="96" spans="2:14" ht="14.25">
      <c r="B96" s="118"/>
      <c r="C96" s="119"/>
      <c r="D96" s="119"/>
      <c r="E96" s="119"/>
      <c r="F96" s="119"/>
      <c r="G96" s="113"/>
      <c r="H96" s="113"/>
      <c r="I96" s="113"/>
      <c r="J96" s="113"/>
      <c r="K96" s="113"/>
      <c r="L96" s="113"/>
      <c r="M96" s="113"/>
      <c r="N96" s="113"/>
    </row>
    <row r="97" spans="2:18" ht="12.75">
      <c r="B97" s="115"/>
      <c r="C97" s="116"/>
      <c r="D97" s="117" t="s">
        <v>118</v>
      </c>
      <c r="E97" s="114">
        <f>E13+E16+E30+E41+E43+E49+E53+E68+E70+E73+E76+E80+E86</f>
        <v>40.21</v>
      </c>
      <c r="F97" s="117">
        <f>G13+G16+G30+G41+G43+G49+G53+G68+G70+G73+G76+G80+G86</f>
        <v>130954</v>
      </c>
      <c r="G97" s="113"/>
      <c r="H97" s="114">
        <f>H13+H16+H30+H41+H43+H49+H53+H68+H70+H73+H76+H80+H86</f>
        <v>401270</v>
      </c>
      <c r="I97" s="113"/>
      <c r="J97" s="114"/>
      <c r="K97" s="113"/>
      <c r="L97" s="114"/>
      <c r="M97" s="114"/>
      <c r="N97" s="113"/>
      <c r="O97" s="215"/>
      <c r="Q97" s="215"/>
      <c r="R97" s="215"/>
    </row>
    <row r="98" spans="2:14" ht="14.25">
      <c r="B98" s="118"/>
      <c r="C98" s="119"/>
      <c r="D98" s="119"/>
      <c r="E98" s="119"/>
      <c r="F98" s="119"/>
      <c r="G98" s="113"/>
      <c r="H98" s="113"/>
      <c r="I98" s="113"/>
      <c r="J98" s="113"/>
      <c r="K98" s="113"/>
      <c r="L98" s="113"/>
      <c r="M98" s="113"/>
      <c r="N98" s="113"/>
    </row>
    <row r="99" spans="2:14" ht="12.75">
      <c r="B99" s="122"/>
      <c r="C99" s="116"/>
      <c r="D99" s="117"/>
      <c r="E99" s="117"/>
      <c r="F99" s="117"/>
      <c r="G99" s="113"/>
      <c r="H99" s="113"/>
      <c r="I99" s="113"/>
      <c r="J99" s="113"/>
      <c r="K99" s="113"/>
      <c r="L99" s="113"/>
      <c r="M99" s="113"/>
      <c r="N99" s="113"/>
    </row>
    <row r="100" spans="2:14" ht="14.25">
      <c r="B100" s="118"/>
      <c r="C100" s="119"/>
      <c r="D100" s="119"/>
      <c r="E100" s="119"/>
      <c r="F100" s="119"/>
      <c r="G100" s="113"/>
      <c r="H100" s="113"/>
      <c r="I100" s="113"/>
      <c r="J100" s="113"/>
      <c r="K100" s="113"/>
      <c r="L100" s="113"/>
      <c r="M100" s="113"/>
      <c r="N100" s="113"/>
    </row>
    <row r="101" spans="2:14" ht="12.75">
      <c r="B101" s="123"/>
      <c r="C101" s="116"/>
      <c r="D101" s="117"/>
      <c r="E101" s="117"/>
      <c r="F101" s="117"/>
      <c r="G101" s="113"/>
      <c r="H101" s="113"/>
      <c r="I101" s="113"/>
      <c r="J101" s="113"/>
      <c r="K101" s="113"/>
      <c r="L101" s="113"/>
      <c r="M101" s="113"/>
      <c r="N101" s="113"/>
    </row>
    <row r="102" spans="2:14" ht="14.25">
      <c r="B102" s="118"/>
      <c r="C102" s="119"/>
      <c r="D102" s="119"/>
      <c r="E102" s="119"/>
      <c r="F102" s="119"/>
      <c r="G102" s="113"/>
      <c r="H102" s="113"/>
      <c r="I102" s="113"/>
      <c r="J102" s="113"/>
      <c r="K102" s="113"/>
      <c r="L102" s="113"/>
      <c r="M102" s="113"/>
      <c r="N102" s="113"/>
    </row>
    <row r="103" spans="2:14" ht="12.75">
      <c r="B103" s="120"/>
      <c r="C103" s="121"/>
      <c r="D103" s="117"/>
      <c r="E103" s="117"/>
      <c r="F103" s="117"/>
      <c r="G103" s="113"/>
      <c r="H103" s="113"/>
      <c r="I103" s="113"/>
      <c r="J103" s="113"/>
      <c r="K103" s="113"/>
      <c r="L103" s="113"/>
      <c r="M103" s="113"/>
      <c r="N103" s="113"/>
    </row>
    <row r="104" spans="2:14" ht="12.75">
      <c r="B104" s="120"/>
      <c r="C104" s="121"/>
      <c r="D104" s="117"/>
      <c r="E104" s="117"/>
      <c r="F104" s="117"/>
      <c r="G104" s="113"/>
      <c r="H104" s="113"/>
      <c r="I104" s="113"/>
      <c r="J104" s="113"/>
      <c r="K104" s="113"/>
      <c r="L104" s="113"/>
      <c r="M104" s="113"/>
      <c r="N104" s="113"/>
    </row>
    <row r="105" spans="2:14" ht="14.25">
      <c r="B105" s="118"/>
      <c r="C105" s="119"/>
      <c r="D105" s="119"/>
      <c r="E105" s="119"/>
      <c r="F105" s="119"/>
      <c r="G105" s="113"/>
      <c r="H105" s="113"/>
      <c r="I105" s="113"/>
      <c r="J105" s="113"/>
      <c r="K105" s="113"/>
      <c r="L105" s="113"/>
      <c r="M105" s="113"/>
      <c r="N105" s="113"/>
    </row>
    <row r="106" spans="2:14" ht="12.75">
      <c r="B106" s="123"/>
      <c r="C106" s="116"/>
      <c r="D106" s="117"/>
      <c r="E106" s="117"/>
      <c r="F106" s="117"/>
      <c r="G106" s="113"/>
      <c r="H106" s="113"/>
      <c r="I106" s="113"/>
      <c r="J106" s="113"/>
      <c r="K106" s="113"/>
      <c r="L106" s="113"/>
      <c r="M106" s="113"/>
      <c r="N106" s="113"/>
    </row>
    <row r="107" spans="2:14" ht="14.25">
      <c r="B107" s="118"/>
      <c r="C107" s="119"/>
      <c r="D107" s="119"/>
      <c r="E107" s="119"/>
      <c r="F107" s="119"/>
      <c r="G107" s="113"/>
      <c r="H107" s="113"/>
      <c r="I107" s="113"/>
      <c r="J107" s="113"/>
      <c r="K107" s="113"/>
      <c r="L107" s="113"/>
      <c r="M107" s="113"/>
      <c r="N107" s="113"/>
    </row>
    <row r="108" spans="2:14" ht="12.75">
      <c r="B108" s="120"/>
      <c r="C108" s="121"/>
      <c r="D108" s="117"/>
      <c r="E108" s="117"/>
      <c r="F108" s="117"/>
      <c r="G108" s="113"/>
      <c r="H108" s="113"/>
      <c r="I108" s="113"/>
      <c r="J108" s="113"/>
      <c r="K108" s="113"/>
      <c r="L108" s="113"/>
      <c r="M108" s="113"/>
      <c r="N108" s="113"/>
    </row>
    <row r="109" spans="2:14" ht="14.25">
      <c r="B109" s="118"/>
      <c r="C109" s="119"/>
      <c r="D109" s="119"/>
      <c r="E109" s="119"/>
      <c r="F109" s="119"/>
      <c r="G109" s="113"/>
      <c r="H109" s="113"/>
      <c r="I109" s="113"/>
      <c r="J109" s="113"/>
      <c r="K109" s="113"/>
      <c r="L109" s="113"/>
      <c r="M109" s="113"/>
      <c r="N109" s="113"/>
    </row>
    <row r="110" spans="2:14" ht="12.75">
      <c r="B110" s="120"/>
      <c r="C110" s="121"/>
      <c r="D110" s="117"/>
      <c r="E110" s="117"/>
      <c r="F110" s="117"/>
      <c r="G110" s="113"/>
      <c r="H110" s="113"/>
      <c r="I110" s="113"/>
      <c r="J110" s="113"/>
      <c r="K110" s="113"/>
      <c r="L110" s="113"/>
      <c r="M110" s="113"/>
      <c r="N110" s="113"/>
    </row>
    <row r="111" spans="2:14" ht="12.75">
      <c r="B111" s="120"/>
      <c r="C111" s="121"/>
      <c r="D111" s="117"/>
      <c r="E111" s="117"/>
      <c r="F111" s="117"/>
      <c r="G111" s="113"/>
      <c r="H111" s="113"/>
      <c r="I111" s="113"/>
      <c r="J111" s="113"/>
      <c r="K111" s="113"/>
      <c r="L111" s="113"/>
      <c r="M111" s="113"/>
      <c r="N111" s="113"/>
    </row>
    <row r="112" spans="2:14" ht="12.75">
      <c r="B112" s="120"/>
      <c r="C112" s="121"/>
      <c r="D112" s="117"/>
      <c r="E112" s="117"/>
      <c r="F112" s="117"/>
      <c r="G112" s="113"/>
      <c r="H112" s="113"/>
      <c r="I112" s="113"/>
      <c r="J112" s="113"/>
      <c r="K112" s="113"/>
      <c r="L112" s="113"/>
      <c r="M112" s="113"/>
      <c r="N112" s="113"/>
    </row>
    <row r="113" spans="2:14" ht="14.25">
      <c r="B113" s="118"/>
      <c r="C113" s="119"/>
      <c r="D113" s="119"/>
      <c r="E113" s="119"/>
      <c r="F113" s="119"/>
      <c r="G113" s="113"/>
      <c r="H113" s="113"/>
      <c r="I113" s="113"/>
      <c r="J113" s="113"/>
      <c r="K113" s="113"/>
      <c r="L113" s="113"/>
      <c r="M113" s="113"/>
      <c r="N113" s="113"/>
    </row>
    <row r="114" spans="2:14" ht="12.75">
      <c r="B114" s="120"/>
      <c r="C114" s="121"/>
      <c r="D114" s="117"/>
      <c r="E114" s="117"/>
      <c r="F114" s="117"/>
      <c r="G114" s="113"/>
      <c r="H114" s="113"/>
      <c r="I114" s="113"/>
      <c r="J114" s="113"/>
      <c r="K114" s="113"/>
      <c r="L114" s="113"/>
      <c r="M114" s="113"/>
      <c r="N114" s="113"/>
    </row>
    <row r="115" spans="2:14" ht="12.75">
      <c r="B115" s="124"/>
      <c r="C115" s="119"/>
      <c r="D115" s="119"/>
      <c r="E115" s="119"/>
      <c r="F115" s="119"/>
      <c r="G115" s="113"/>
      <c r="H115" s="113"/>
      <c r="I115" s="113"/>
      <c r="J115" s="113"/>
      <c r="K115" s="113"/>
      <c r="L115" s="113"/>
      <c r="M115" s="113"/>
      <c r="N115" s="113"/>
    </row>
    <row r="116" spans="2:14" ht="12.75">
      <c r="B116" s="110"/>
      <c r="C116" s="111"/>
      <c r="D116" s="112"/>
      <c r="E116" s="112"/>
      <c r="F116" s="112"/>
      <c r="G116" s="113"/>
      <c r="H116" s="113"/>
      <c r="I116" s="113"/>
      <c r="J116" s="113"/>
      <c r="K116" s="113"/>
      <c r="L116" s="113"/>
      <c r="M116" s="113"/>
      <c r="N116" s="113"/>
    </row>
    <row r="117" spans="2:14" ht="12.75">
      <c r="B117" s="110"/>
      <c r="C117" s="111"/>
      <c r="D117" s="112"/>
      <c r="E117" s="112"/>
      <c r="F117" s="112"/>
      <c r="G117" s="113"/>
      <c r="H117" s="113"/>
      <c r="I117" s="113"/>
      <c r="J117" s="113"/>
      <c r="K117" s="113"/>
      <c r="L117" s="113"/>
      <c r="M117" s="113"/>
      <c r="N117" s="113"/>
    </row>
    <row r="118" spans="2:14" ht="12.75">
      <c r="B118" s="125"/>
      <c r="C118" s="111"/>
      <c r="D118" s="112"/>
      <c r="E118" s="112"/>
      <c r="F118" s="112"/>
      <c r="G118" s="113"/>
      <c r="H118" s="113"/>
      <c r="I118" s="113"/>
      <c r="J118" s="113"/>
      <c r="K118" s="113"/>
      <c r="L118" s="113"/>
      <c r="M118" s="113"/>
      <c r="N118" s="113"/>
    </row>
    <row r="119" spans="2:14" ht="12.75">
      <c r="B119" s="125"/>
      <c r="C119" s="111"/>
      <c r="D119" s="112"/>
      <c r="E119" s="112"/>
      <c r="F119" s="112"/>
      <c r="G119" s="113"/>
      <c r="H119" s="113"/>
      <c r="I119" s="113"/>
      <c r="J119" s="113"/>
      <c r="K119" s="113"/>
      <c r="L119" s="113"/>
      <c r="M119" s="113"/>
      <c r="N119" s="113"/>
    </row>
    <row r="120" spans="2:14" ht="12.75">
      <c r="B120" s="110"/>
      <c r="C120" s="111"/>
      <c r="D120" s="112"/>
      <c r="E120" s="112"/>
      <c r="F120" s="112"/>
      <c r="G120" s="113"/>
      <c r="H120" s="113"/>
      <c r="I120" s="113"/>
      <c r="J120" s="113"/>
      <c r="K120" s="113"/>
      <c r="L120" s="113"/>
      <c r="M120" s="113"/>
      <c r="N120" s="113"/>
    </row>
    <row r="121" spans="2:14" ht="12.75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 ht="12.75">
      <c r="B122" s="113"/>
      <c r="C122" s="113"/>
      <c r="D122" s="114"/>
      <c r="E122" s="114"/>
      <c r="F122" s="114"/>
      <c r="G122" s="113"/>
      <c r="H122" s="113"/>
      <c r="I122" s="113"/>
      <c r="J122" s="113"/>
      <c r="K122" s="113"/>
      <c r="L122" s="113"/>
      <c r="M122" s="113"/>
      <c r="N122" s="113"/>
    </row>
    <row r="123" spans="2:14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 ht="12.75"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 ht="12.75"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 ht="12.75"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 ht="12.75"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 ht="12.75"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 ht="12.75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 ht="12.75"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 ht="12.75"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 ht="12.75"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 ht="12.75"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 ht="12.75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 ht="12.75"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 ht="12.75"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 ht="12.75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 ht="12.75"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 ht="12.75"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 ht="12.75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 ht="12.75"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 ht="12.75"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 ht="12.75"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 ht="12.75"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 ht="12.75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 ht="12.75"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 ht="12.75"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 ht="12.75"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 ht="12.75"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 ht="12.75"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 ht="12.75"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 ht="12.75"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 ht="12.75"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 ht="12.75"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 ht="12.75"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 ht="12.75"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 ht="12.75"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 ht="12.7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 ht="12.75"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 ht="12.75"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 ht="12.75"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 ht="12.75"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 ht="12.75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 ht="12.75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 ht="12.75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 ht="12.75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 ht="12.75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 ht="12.75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 ht="12.75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 ht="12.75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 ht="12.75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 ht="12.75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 ht="12.75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 ht="12.75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 ht="12.75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 ht="12.75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 ht="12.7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 ht="12.75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 ht="12.75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 ht="12.75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 ht="12.75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 ht="12.75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 ht="12.75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 ht="12.75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 ht="12.75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 ht="12.75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 ht="12.75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 ht="12.75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 ht="12.75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 ht="12.75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 ht="12.75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 ht="12.75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 ht="12.75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 ht="12.75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 ht="12.75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 ht="12.75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 ht="12.75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 ht="12.75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 ht="12.75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 ht="12.75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 ht="12.75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 ht="12.75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 ht="12.75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 ht="12.75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 ht="12.75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 ht="12.75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 ht="12.75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 ht="12.75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 ht="12.75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 ht="12.75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 ht="12.75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 ht="12.75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 ht="12.75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 ht="12.75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 ht="12.75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 ht="12.75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 ht="12.75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 ht="12.75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 ht="12.75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 ht="12.75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 ht="12.75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 ht="12.75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 ht="12.75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 ht="12.75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 ht="12.75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 ht="12.75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 ht="12.75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 ht="12.75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 ht="12.75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 ht="12.75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 ht="12.75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 ht="12.75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 ht="12.75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 ht="12.75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 ht="12.75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 ht="12.75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 ht="12.75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 ht="12.75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 ht="12.75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 ht="12.75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 ht="12.75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 ht="12.75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 ht="12.75"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 ht="12.75"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 ht="12.75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 ht="12.75"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 ht="12.75"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 ht="12.75"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 ht="12.75"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 ht="12.75"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 ht="12.75"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 ht="12.75"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 ht="12.75"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 ht="12.75"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 ht="12.75"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</row>
    <row r="257" spans="2:14" ht="12.75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</row>
    <row r="258" spans="2:14" ht="12.75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</row>
    <row r="259" spans="2:14" ht="12.75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</row>
    <row r="260" spans="2:14" ht="12.75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</row>
    <row r="261" spans="2:14" ht="12.75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</row>
    <row r="262" spans="2:14" ht="12.75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</row>
    <row r="263" spans="2:14" ht="12.75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</row>
    <row r="264" spans="2:14" ht="12.75"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</row>
    <row r="265" spans="2:14" ht="12.75"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</row>
    <row r="266" spans="2:14" ht="12.75"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</row>
    <row r="267" spans="2:14" ht="12.75"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</row>
    <row r="268" spans="2:14" ht="12.75"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</row>
    <row r="269" spans="2:14" ht="12.75"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</row>
    <row r="270" spans="2:14" ht="12.75"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</row>
    <row r="271" spans="2:14" ht="12.75"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</row>
    <row r="272" spans="2:14" ht="12.75"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</row>
    <row r="273" spans="2:14" ht="12.75"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</row>
    <row r="274" spans="2:14" ht="12.75"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</row>
    <row r="275" spans="2:14" ht="12.75"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</row>
    <row r="276" spans="2:14" ht="12.75"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</row>
    <row r="277" spans="2:14" ht="12.75"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</row>
    <row r="278" spans="2:14" ht="12.75"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</row>
    <row r="279" spans="2:14" ht="12.75"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</row>
    <row r="280" spans="2:14" ht="12.75"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</row>
    <row r="281" spans="2:14" ht="12.75"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</row>
    <row r="282" spans="2:14" ht="12.75"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</row>
    <row r="283" spans="2:14" ht="12.75"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</row>
    <row r="284" spans="2:14" ht="12.75"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</row>
    <row r="285" spans="2:14" ht="12.75"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</row>
    <row r="286" spans="2:14" ht="12.75"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</row>
    <row r="287" spans="2:14" ht="12.75"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</row>
    <row r="288" spans="2:14" ht="12.75"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</row>
    <row r="289" spans="2:14" ht="12.75"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</row>
    <row r="290" spans="2:14" ht="12.75"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</row>
    <row r="291" spans="2:14" ht="12.75"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</row>
    <row r="292" spans="2:14" ht="12.75"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</row>
    <row r="293" spans="2:14" ht="12.75"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</row>
    <row r="294" spans="2:14" ht="12.75"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</row>
    <row r="295" spans="2:14" ht="12.75"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</row>
    <row r="296" spans="2:14" ht="12.75"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</row>
    <row r="297" spans="2:14" ht="12.75"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</row>
    <row r="298" spans="2:14" ht="12.75"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</row>
    <row r="299" spans="2:14" ht="12.75"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</row>
    <row r="300" spans="2:14" ht="12.75"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</row>
    <row r="301" spans="2:14" ht="12.75"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</row>
    <row r="302" spans="2:14" ht="12.75"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</row>
    <row r="303" spans="2:14" ht="12.75"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</row>
    <row r="304" spans="2:14" ht="12.75"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</row>
    <row r="305" spans="2:14" ht="12.75"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</row>
    <row r="306" spans="2:14" ht="12.75"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</row>
    <row r="307" spans="2:14" ht="12.75"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</row>
    <row r="308" spans="2:14" ht="12.75"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</row>
    <row r="309" spans="2:14" ht="12.75"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</row>
    <row r="310" spans="2:14" ht="12.75"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</row>
    <row r="311" spans="2:14" ht="12.75"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</row>
    <row r="312" spans="2:14" ht="12.75"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</row>
    <row r="313" spans="2:14" ht="12.75"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</row>
    <row r="314" spans="2:14" ht="12.75"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</row>
    <row r="315" spans="2:14" ht="12.75"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</row>
    <row r="316" spans="2:14" ht="12.75"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</row>
    <row r="317" spans="2:14" ht="12.75"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</row>
    <row r="318" spans="2:14" ht="12.75"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</row>
    <row r="319" spans="2:14" ht="12.75"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</row>
    <row r="320" spans="2:14" ht="12.75"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</row>
    <row r="321" spans="2:14" ht="12.75"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</row>
    <row r="322" spans="2:14" ht="12.75"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</row>
    <row r="323" spans="2:14" ht="12.75"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</row>
    <row r="324" spans="2:14" ht="12.75"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</row>
    <row r="325" spans="2:14" ht="12.75"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</row>
    <row r="326" spans="2:14" ht="12.75"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</row>
    <row r="327" spans="2:14" ht="12.75"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</row>
    <row r="328" spans="2:14" ht="12.75"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</row>
    <row r="329" spans="2:14" ht="12.75"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</row>
    <row r="330" spans="2:14" ht="12.75"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</row>
    <row r="331" spans="2:14" ht="12.75"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</row>
    <row r="332" spans="2:14" ht="12.75"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</row>
    <row r="333" spans="2:14" ht="12.75"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</row>
    <row r="334" spans="2:14" ht="12.75"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</row>
    <row r="335" spans="2:14" ht="12.75"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</row>
    <row r="336" spans="2:14" ht="12.75"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</row>
    <row r="337" spans="2:14" ht="12.75"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</row>
    <row r="338" spans="2:14" ht="12.75"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</row>
    <row r="339" spans="2:14" ht="12.75"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</row>
    <row r="340" spans="2:14" ht="12.75"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</row>
    <row r="341" spans="2:14" ht="12.75"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</row>
    <row r="342" spans="2:14" ht="12.75"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</row>
    <row r="343" spans="2:14" ht="12.75"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</row>
    <row r="344" spans="2:14" ht="12.75"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</row>
    <row r="345" spans="2:14" ht="12.75"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</row>
    <row r="346" spans="2:14" ht="12.75"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</row>
    <row r="347" spans="2:14" ht="12.75"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</row>
    <row r="348" spans="2:14" ht="12.75"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</row>
    <row r="349" spans="2:14" ht="12.75"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</row>
    <row r="350" spans="2:14" ht="12.75"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</row>
    <row r="351" spans="2:14" ht="12.75"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</row>
    <row r="352" spans="2:14" ht="12.75"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</row>
    <row r="353" spans="2:14" ht="12.75"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</row>
    <row r="354" spans="2:14" ht="12.75"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</row>
    <row r="355" spans="2:14" ht="12.75"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</row>
    <row r="356" spans="2:14" ht="12.75"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</row>
    <row r="357" spans="2:14" ht="12.75"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</row>
    <row r="358" spans="2:14" ht="12.75"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</row>
    <row r="359" spans="2:14" ht="12.75"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</row>
    <row r="360" spans="2:14" ht="12.7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</row>
    <row r="361" spans="2:14" ht="12.75"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</row>
    <row r="362" spans="2:14" ht="12.75"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</row>
    <row r="363" spans="2:14" ht="12.75"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</row>
    <row r="364" spans="2:14" ht="12.75"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</row>
    <row r="365" spans="2:14" ht="12.75"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</row>
    <row r="366" spans="2:14" ht="12.75"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</row>
    <row r="367" spans="2:14" ht="12.75"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</row>
    <row r="368" spans="2:14" ht="12.75"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</row>
    <row r="369" spans="2:14" ht="12.75"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</row>
    <row r="370" spans="2:14" ht="12.75"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</row>
    <row r="371" spans="2:14" ht="12.75"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</row>
    <row r="372" spans="2:14" ht="12.75"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</row>
    <row r="373" spans="2:14" ht="12.75"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</row>
    <row r="374" spans="2:14" ht="12.75"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</row>
    <row r="375" spans="2:14" ht="12.75"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</row>
    <row r="376" spans="2:14" ht="12.75"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</row>
    <row r="377" spans="2:14" ht="12.75"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</row>
    <row r="378" spans="2:14" ht="12.75"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</row>
    <row r="379" spans="2:14" ht="12.75"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</row>
    <row r="380" spans="2:14" ht="12.75"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</row>
    <row r="381" spans="2:14" ht="12.75"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</row>
    <row r="382" spans="2:14" ht="12.75"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</row>
    <row r="383" spans="2:14" ht="12.75"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</row>
    <row r="384" spans="2:14" ht="12.75"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</row>
    <row r="385" spans="2:14" ht="12.75"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</row>
    <row r="386" spans="2:14" ht="12.75"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</row>
    <row r="387" spans="2:14" ht="12.75"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</row>
    <row r="388" spans="2:14" ht="12.75"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</row>
    <row r="389" spans="2:14" ht="12.75"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</row>
    <row r="390" spans="2:14" ht="12.75"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</row>
    <row r="391" spans="2:14" ht="12.75"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</row>
    <row r="392" spans="2:14" ht="12.75"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</row>
    <row r="393" spans="2:14" ht="12.75"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</row>
    <row r="394" spans="2:14" ht="12.75"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</row>
    <row r="395" spans="2:14" ht="12.75"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</row>
    <row r="396" spans="2:14" ht="12.75"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</row>
    <row r="397" spans="2:14" ht="12.75"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</row>
    <row r="398" spans="2:14" ht="12.75"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</row>
    <row r="399" spans="2:14" ht="12.75"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</row>
    <row r="400" spans="2:14" ht="12.75"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</row>
    <row r="401" spans="2:14" ht="12.75"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</row>
    <row r="402" spans="2:14" ht="12.75"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</row>
    <row r="403" spans="2:14" ht="12.75"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</row>
    <row r="404" spans="2:14" ht="12.75"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</row>
    <row r="405" spans="2:14" ht="12.75"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</row>
    <row r="406" spans="2:14" ht="12.75"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</row>
    <row r="407" spans="2:14" ht="12.75"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</row>
    <row r="408" spans="2:14" ht="12.75"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</row>
    <row r="409" spans="2:14" ht="12.75"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</row>
    <row r="410" spans="2:14" ht="12.75"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</row>
    <row r="411" spans="2:14" ht="12.75"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</row>
    <row r="412" spans="2:14" ht="12.75"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</row>
    <row r="413" spans="2:14" ht="12.75"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</row>
    <row r="414" spans="2:14" ht="12.75"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</row>
    <row r="415" spans="2:14" ht="12.75"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</row>
    <row r="416" spans="2:14" ht="12.75"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</row>
    <row r="417" spans="2:14" ht="12.75"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</row>
    <row r="418" spans="2:14" ht="12.75"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</row>
    <row r="419" spans="2:14" ht="12.75"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</row>
    <row r="420" spans="2:14" ht="12.75"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</row>
    <row r="421" spans="2:14" ht="12.75"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</row>
    <row r="422" spans="2:14" ht="12.75"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</row>
    <row r="423" spans="2:14" ht="12.75"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</row>
    <row r="424" spans="2:14" ht="12.75"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</row>
    <row r="425" spans="2:14" ht="12.75"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</row>
    <row r="426" spans="2:14" ht="12.75"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</row>
    <row r="427" spans="2:14" ht="12.75"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</row>
    <row r="428" spans="2:14" ht="12.75"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</row>
    <row r="429" spans="2:14" ht="12.75"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</row>
    <row r="430" spans="2:14" ht="12.75"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</row>
    <row r="431" spans="2:14" ht="12.75"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</row>
    <row r="432" spans="2:14" ht="12.75"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</row>
    <row r="433" spans="2:14" ht="12.75"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</row>
    <row r="434" spans="2:14" ht="12.75"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</row>
    <row r="435" spans="2:14" ht="12.75"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</row>
    <row r="436" spans="2:14" ht="12.75"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</row>
    <row r="437" spans="2:14" ht="12.75"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</row>
    <row r="438" spans="2:14" ht="12.75"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</row>
    <row r="439" spans="2:14" ht="12.75"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</row>
    <row r="440" spans="2:14" ht="12.75"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</row>
    <row r="441" spans="2:14" ht="12.75"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</row>
    <row r="442" spans="2:14" ht="12.75"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</row>
    <row r="443" spans="2:14" ht="12.75"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</row>
    <row r="444" spans="2:14" ht="12.75"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</row>
    <row r="445" spans="2:14" ht="12.75"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</row>
    <row r="446" spans="2:14" ht="12.75"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</row>
    <row r="447" spans="2:14" ht="12.75"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</row>
    <row r="448" spans="2:14" ht="12.75"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</row>
    <row r="449" spans="2:14" ht="12.75"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</row>
    <row r="450" spans="2:14" ht="12.75"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</row>
    <row r="451" spans="2:14" ht="12.75"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</row>
    <row r="452" spans="2:14" ht="12.75"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</row>
    <row r="453" spans="2:14" ht="12.75"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</row>
    <row r="454" spans="2:14" ht="12.75"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</row>
    <row r="455" spans="2:14" ht="12.75"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</row>
    <row r="456" spans="2:14" ht="12.75"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</row>
    <row r="457" spans="2:14" ht="12.75"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</row>
    <row r="458" spans="2:14" ht="12.75"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</row>
    <row r="459" spans="2:14" ht="12.75"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</row>
    <row r="460" spans="2:14" ht="12.75"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</row>
    <row r="461" spans="2:14" ht="12.75"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</row>
    <row r="462" spans="2:14" ht="12.75"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</row>
    <row r="463" spans="2:14" ht="12.75"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</row>
    <row r="464" spans="2:14" ht="12.75"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</row>
    <row r="465" spans="2:14" ht="12.75"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</row>
    <row r="466" spans="2:14" ht="12.75"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</row>
    <row r="467" spans="2:14" ht="12.75"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</row>
    <row r="468" spans="2:14" ht="12.75"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</row>
    <row r="469" spans="2:14" ht="12.75"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</row>
    <row r="470" spans="2:14" ht="12.75"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</row>
    <row r="471" spans="2:14" ht="12.75"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</row>
    <row r="472" spans="2:14" ht="12.75"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</row>
    <row r="473" spans="2:14" ht="12.75"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</row>
    <row r="474" spans="2:14" ht="12.75"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</row>
    <row r="475" spans="2:14" ht="12.75"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</row>
    <row r="476" spans="2:14" ht="12.75"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</row>
    <row r="477" spans="2:14" ht="12.75"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</row>
    <row r="478" spans="2:14" ht="12.75"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</row>
    <row r="479" spans="2:14" ht="12.75"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</row>
    <row r="480" spans="2:14" ht="12.75"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</row>
    <row r="481" spans="2:14" ht="12.75"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</row>
    <row r="482" spans="2:14" ht="12.75"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</row>
    <row r="483" spans="2:14" ht="12.75"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</row>
    <row r="484" spans="2:14" ht="12.75"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</row>
    <row r="485" spans="2:14" ht="12.75"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</row>
    <row r="486" spans="2:14" ht="12.75"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</row>
    <row r="487" spans="2:14" ht="12.75"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</row>
    <row r="488" spans="2:14" ht="12.75"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</row>
    <row r="489" spans="2:14" ht="12.75"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</row>
    <row r="490" spans="2:14" ht="12.75"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</row>
    <row r="491" spans="2:14" ht="12.75"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</row>
    <row r="492" spans="2:14" ht="12.75"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</row>
    <row r="493" spans="2:14" ht="12.75"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</row>
    <row r="494" spans="2:14" ht="12.75"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</row>
    <row r="495" spans="2:14" ht="12.75"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</row>
    <row r="496" spans="2:14" ht="12.75"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</row>
    <row r="497" spans="2:14" ht="12.75"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</row>
    <row r="498" spans="2:14" ht="12.75"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</row>
    <row r="499" spans="2:14" ht="12.75"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</row>
    <row r="500" spans="2:14" ht="12.75"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</row>
    <row r="501" spans="2:14" ht="12.75"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</row>
    <row r="502" spans="2:14" ht="12.75"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</row>
    <row r="503" spans="2:14" ht="12.75"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</row>
    <row r="504" spans="2:14" ht="12.75"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</row>
    <row r="505" spans="2:14" ht="12.75"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</row>
    <row r="506" spans="2:14" ht="12.75"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</row>
    <row r="507" spans="2:14" ht="12.75"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</row>
    <row r="508" spans="2:14" ht="12.75"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</row>
    <row r="509" spans="2:14" ht="12.75"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</row>
    <row r="510" spans="2:14" ht="12.75"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</row>
    <row r="511" spans="2:14" ht="12.75"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</row>
    <row r="512" spans="2:14" ht="12.75"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</row>
    <row r="513" spans="2:14" ht="12.75"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</row>
    <row r="514" spans="2:14" ht="12.75"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</row>
    <row r="515" spans="2:14" ht="12.75"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</row>
    <row r="516" spans="2:14" ht="12.75"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</row>
    <row r="517" spans="2:14" ht="12.75"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</row>
    <row r="518" spans="2:14" ht="12.75"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</row>
    <row r="519" spans="2:14" ht="12.75"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</row>
    <row r="520" spans="2:14" ht="12.75"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</row>
    <row r="521" spans="2:14" ht="12.75"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</row>
    <row r="522" spans="2:14" ht="12.75"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</row>
    <row r="523" spans="2:14" ht="12.75"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</row>
    <row r="524" spans="2:14" ht="12.75"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</row>
    <row r="525" spans="2:14" ht="12.75"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</row>
    <row r="526" spans="2:14" ht="12.75"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</row>
    <row r="527" spans="2:14" ht="12.75"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</row>
    <row r="528" spans="2:14" ht="12.75"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</row>
    <row r="529" spans="2:14" ht="12.75"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</row>
    <row r="530" spans="2:14" ht="12.75"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</row>
    <row r="531" spans="2:14" ht="12.75"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</row>
    <row r="532" spans="2:14" ht="12.75"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</row>
    <row r="533" spans="2:14" ht="12.75"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</row>
    <row r="534" spans="2:14" ht="12.75"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</row>
    <row r="535" spans="2:14" ht="12.75"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</row>
    <row r="536" spans="2:14" ht="12.75"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</row>
    <row r="537" spans="2:14" ht="12.75"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</row>
    <row r="538" spans="2:14" ht="12.75"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</row>
    <row r="539" spans="2:14" ht="12.75"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</row>
    <row r="540" spans="2:14" ht="12.75"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</row>
    <row r="541" spans="2:14" ht="12.75"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</row>
    <row r="542" spans="2:14" ht="12.75"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</row>
    <row r="543" spans="2:14" ht="12.75"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</row>
    <row r="544" spans="2:14" ht="12.75"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</row>
    <row r="545" spans="2:14" ht="12.75"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</row>
    <row r="546" spans="2:14" ht="12.75"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</row>
    <row r="547" spans="2:14" ht="12.75"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</row>
    <row r="548" spans="2:14" ht="12.75"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</row>
    <row r="549" spans="2:14" ht="12.75"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</row>
    <row r="550" spans="2:14" ht="12.75"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</row>
    <row r="551" spans="2:14" ht="12.75"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</row>
    <row r="552" spans="2:14" ht="12.75"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</row>
    <row r="553" spans="2:14" ht="12.75"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</row>
    <row r="554" spans="2:14" ht="12.75"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</row>
    <row r="555" spans="2:14" ht="12.75"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</row>
    <row r="556" spans="2:14" ht="12.75"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</row>
    <row r="557" spans="2:14" ht="12.75"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</row>
    <row r="558" spans="2:14" ht="12.75"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</row>
    <row r="559" spans="2:14" ht="12.75"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</row>
    <row r="560" spans="2:14" ht="12.75"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</row>
    <row r="561" spans="2:14" ht="12.75"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</row>
    <row r="562" spans="2:14" ht="12.75"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</row>
    <row r="563" spans="2:14" ht="12.75"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</row>
    <row r="564" spans="2:14" ht="12.75"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</row>
    <row r="565" spans="2:14" ht="12.75"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</row>
    <row r="566" spans="2:14" ht="12.75"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</row>
    <row r="567" spans="2:14" ht="12.75"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</row>
    <row r="568" spans="2:14" ht="12.75"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</row>
    <row r="569" spans="2:14" ht="12.75"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</row>
    <row r="570" spans="2:14" ht="12.75"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</row>
    <row r="571" spans="2:14" ht="12.75"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</row>
    <row r="572" spans="2:14" ht="12.75"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</row>
    <row r="573" spans="2:14" ht="12.75"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</row>
    <row r="574" spans="2:14" ht="12.75"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</row>
    <row r="575" spans="2:14" ht="12.75"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</row>
    <row r="576" spans="2:14" ht="12.75"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</row>
    <row r="577" spans="2:14" ht="12.75"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</row>
    <row r="578" spans="2:14" ht="12.75"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</row>
    <row r="579" spans="2:14" ht="12.75"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</row>
    <row r="580" spans="2:14" ht="12.75"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</row>
    <row r="581" spans="2:14" ht="12.75"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</row>
    <row r="582" spans="2:14" ht="12.75"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</row>
    <row r="583" spans="2:14" ht="12.75"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</row>
    <row r="584" spans="2:14" ht="12.75"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</row>
    <row r="585" spans="2:14" ht="12.75"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</row>
    <row r="586" spans="2:14" ht="12.75"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</row>
    <row r="587" spans="2:14" ht="12.75"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</row>
    <row r="588" spans="2:14" ht="12.75"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</row>
    <row r="589" spans="2:14" ht="12.75"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</row>
    <row r="590" spans="2:14" ht="12.75"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</row>
    <row r="591" spans="2:14" ht="12.75"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</row>
    <row r="592" spans="2:14" ht="12.75"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</row>
    <row r="593" spans="2:14" ht="12.75"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</row>
    <row r="594" spans="2:14" ht="12.75"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</row>
    <row r="595" spans="2:14" ht="12.75"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</row>
    <row r="596" spans="2:14" ht="12.75"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</row>
    <row r="597" spans="2:14" ht="12.75"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</row>
    <row r="598" spans="2:14" ht="12.75"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</row>
    <row r="599" spans="2:14" ht="12.75"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</row>
    <row r="600" spans="2:14" ht="12.75"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</row>
    <row r="601" spans="2:14" ht="12.75"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</row>
    <row r="602" spans="2:14" ht="12.75"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</row>
    <row r="603" spans="2:14" ht="12.75"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</row>
    <row r="604" spans="2:14" ht="12.75"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</row>
    <row r="605" spans="2:14" ht="12.75"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</row>
    <row r="606" spans="2:14" ht="12.75"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</row>
    <row r="607" spans="2:14" ht="12.75"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</row>
    <row r="608" spans="2:14" ht="12.75"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</row>
    <row r="609" spans="2:14" ht="12.75"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</row>
    <row r="610" spans="2:14" ht="12.75"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</row>
    <row r="611" spans="2:14" ht="12.75"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</row>
    <row r="612" spans="2:14" ht="12.75"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</row>
    <row r="613" spans="2:14" ht="12.75"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</row>
    <row r="614" spans="2:14" ht="12.75"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</row>
    <row r="615" spans="2:14" ht="12.75"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</row>
    <row r="616" spans="2:14" ht="12.75"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</row>
    <row r="617" spans="2:14" ht="12.75"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</row>
    <row r="618" spans="2:14" ht="12.75"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</row>
    <row r="619" spans="2:14" ht="12.75"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</row>
    <row r="620" spans="2:14" ht="12.75"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</row>
    <row r="621" spans="2:14" ht="12.75"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</row>
    <row r="622" spans="2:14" ht="12.75"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</row>
    <row r="623" spans="2:14" ht="12.75"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</row>
    <row r="624" spans="2:14" ht="12.75"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</row>
    <row r="625" spans="2:14" ht="12.75"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</row>
    <row r="626" spans="2:14" ht="12.75"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</row>
    <row r="627" spans="2:14" ht="12.75"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</row>
    <row r="628" spans="2:14" ht="12.75"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</row>
    <row r="629" spans="2:14" ht="12.75"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</row>
    <row r="630" spans="2:14" ht="12.75"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</row>
    <row r="631" spans="2:14" ht="12.75"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</row>
    <row r="632" spans="2:14" ht="12.75"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</row>
    <row r="633" spans="2:14" ht="12.75"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</row>
    <row r="634" spans="2:14" ht="12.75"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</row>
    <row r="635" spans="2:14" ht="12.75"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</row>
    <row r="636" spans="2:14" ht="12.75"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</row>
    <row r="637" spans="2:14" ht="12.75"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</row>
    <row r="638" spans="2:14" ht="12.75"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</row>
    <row r="639" spans="2:14" ht="12.75"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</row>
    <row r="640" spans="2:14" ht="12.75"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</row>
    <row r="641" spans="2:14" ht="12.75"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</row>
    <row r="642" spans="2:14" ht="12.75"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</row>
    <row r="643" spans="2:14" ht="12.75"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</row>
    <row r="644" spans="2:14" ht="12.75"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</row>
    <row r="645" spans="2:14" ht="12.75"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</row>
    <row r="646" spans="2:14" ht="12.75"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</row>
    <row r="647" spans="2:14" ht="12.75"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</row>
    <row r="648" spans="2:14" ht="12.75"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</row>
    <row r="649" spans="2:14" ht="12.75"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</row>
    <row r="650" spans="2:14" ht="12.75"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</row>
    <row r="651" spans="2:14" ht="12.75"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</row>
    <row r="652" spans="2:14" ht="12.75"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</row>
    <row r="653" spans="2:14" ht="12.75"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</row>
    <row r="654" spans="2:14" ht="12.75"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</row>
    <row r="655" spans="2:14" ht="12.75"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</row>
    <row r="656" spans="2:14" ht="12.75"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</row>
    <row r="657" spans="2:14" ht="12.75"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</row>
    <row r="658" spans="2:14" ht="12.75"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</row>
    <row r="659" spans="2:14" ht="12.75"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</row>
    <row r="660" spans="2:14" ht="12.75"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</row>
    <row r="661" spans="2:14" ht="12.75"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</row>
    <row r="662" spans="2:14" ht="12.75"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</row>
    <row r="663" spans="2:14" ht="12.75"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</row>
    <row r="664" spans="2:14" ht="12.75"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</row>
    <row r="665" spans="2:14" ht="12.75"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</row>
    <row r="666" spans="2:14" ht="12.75"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</row>
    <row r="667" spans="2:14" ht="12.75"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</row>
    <row r="668" spans="2:14" ht="12.75"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</row>
    <row r="669" spans="2:14" ht="12.75"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</row>
    <row r="670" spans="2:14" ht="12.75"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</row>
    <row r="671" spans="2:14" ht="12.75"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</row>
    <row r="672" spans="2:14" ht="12.75"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</row>
    <row r="673" spans="2:14" ht="12.75"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</row>
    <row r="674" spans="2:14" ht="12.75"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</row>
    <row r="675" spans="2:14" ht="12.75"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</row>
    <row r="676" spans="2:14" ht="12.75"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</row>
    <row r="677" spans="2:14" ht="12.75"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</row>
    <row r="678" spans="2:14" ht="12.75"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</row>
    <row r="679" spans="2:14" ht="12.75"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</row>
    <row r="680" spans="2:14" ht="12.75"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</row>
    <row r="681" spans="2:14" ht="12.75"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</row>
    <row r="682" spans="2:14" ht="12.75"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</row>
    <row r="683" spans="2:14" ht="12.75"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</row>
    <row r="684" spans="2:14" ht="12.75"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</row>
    <row r="685" spans="2:14" ht="12.75"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</row>
    <row r="686" spans="2:14" ht="12.75"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</row>
    <row r="687" spans="2:14" ht="12.75"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</row>
    <row r="688" spans="2:14" ht="12.75"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</row>
    <row r="689" spans="2:14" ht="12.75"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</row>
    <row r="690" spans="2:14" ht="12.75"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</row>
    <row r="691" spans="2:14" ht="12.75"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</row>
    <row r="692" spans="2:14" ht="12.75"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</row>
    <row r="693" spans="2:14" ht="12.75"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</row>
    <row r="694" spans="2:14" ht="12.75"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</row>
    <row r="695" spans="2:14" ht="12.75"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</row>
    <row r="696" spans="2:14" ht="12.75"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</row>
    <row r="697" spans="2:14" ht="12.75"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</row>
    <row r="698" spans="2:14" ht="12.75"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</row>
    <row r="699" spans="2:14" ht="12.75"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</row>
    <row r="700" spans="2:14" ht="12.75"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</row>
    <row r="701" spans="2:14" ht="12.75"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</row>
    <row r="702" spans="2:14" ht="12.75"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</row>
    <row r="703" spans="2:14" ht="12.75"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</row>
    <row r="704" spans="2:14" ht="12.75"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</row>
    <row r="705" spans="2:14" ht="12.75"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</row>
    <row r="706" spans="2:14" ht="12.75"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</row>
    <row r="707" spans="2:14" ht="12.75"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</row>
    <row r="708" spans="2:14" ht="12.75"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</row>
    <row r="709" spans="2:14" ht="12.75"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</row>
    <row r="710" spans="2:14" ht="12.75"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</row>
    <row r="711" spans="2:14" ht="12.75"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</row>
    <row r="712" spans="2:14" ht="12.75"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</row>
    <row r="713" spans="2:14" ht="12.75"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</row>
    <row r="714" spans="2:14" ht="12.75"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</row>
    <row r="715" spans="2:14" ht="12.75"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</row>
    <row r="716" spans="2:14" ht="12.75"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</row>
    <row r="717" spans="2:14" ht="12.75"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</row>
    <row r="718" spans="2:14" ht="12.75"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</row>
    <row r="719" spans="2:14" ht="12.75"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</row>
    <row r="720" spans="2:14" ht="12.75"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</row>
    <row r="721" spans="2:14" ht="12.75"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</row>
    <row r="722" spans="2:14" ht="12.75"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</row>
    <row r="723" spans="2:14" ht="12.75"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</row>
    <row r="724" spans="2:14" ht="12.75"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</row>
    <row r="725" spans="2:14" ht="12.75"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</row>
    <row r="726" spans="2:14" ht="12.75"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</row>
    <row r="727" spans="2:14" ht="12.75"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</row>
    <row r="728" spans="2:14" ht="12.75"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</row>
    <row r="729" spans="2:14" ht="12.75"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</row>
    <row r="730" spans="2:14" ht="12.75"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</row>
    <row r="731" spans="2:14" ht="12.75"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</row>
    <row r="732" spans="2:14" ht="12.75"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</row>
    <row r="733" spans="2:14" ht="12.75"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</row>
    <row r="734" spans="2:14" ht="12.75"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</row>
    <row r="735" spans="2:14" ht="12.75"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</row>
    <row r="736" spans="2:14" ht="12.75"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</row>
    <row r="737" spans="2:14" ht="12.75"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</row>
    <row r="738" spans="2:14" ht="12.75"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</row>
    <row r="739" spans="2:14" ht="12.75"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</row>
    <row r="740" spans="2:14" ht="12.75"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</row>
    <row r="741" spans="2:14" ht="12.75"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</row>
    <row r="742" spans="2:14" ht="12.75"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</row>
    <row r="743" spans="2:14" ht="12.75"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</row>
    <row r="744" spans="2:14" ht="12.75"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</row>
    <row r="745" spans="2:14" ht="12.75"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</row>
    <row r="746" spans="2:14" ht="12.75"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</row>
    <row r="747" spans="2:14" ht="12.75"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</row>
    <row r="748" spans="2:14" ht="12.75"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</row>
    <row r="749" spans="2:14" ht="12.75"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</row>
    <row r="750" spans="2:14" ht="12.75"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</row>
    <row r="751" spans="2:14" ht="12.75"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</row>
    <row r="752" spans="2:14" ht="12.75"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</row>
    <row r="753" spans="2:14" ht="12.75"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</row>
    <row r="754" spans="2:14" ht="12.75"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</row>
    <row r="755" spans="2:14" ht="12.75"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</row>
    <row r="756" spans="2:14" ht="12.75"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</row>
    <row r="757" spans="2:14" ht="12.75"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</row>
    <row r="758" spans="2:14" ht="12.75"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</row>
    <row r="759" spans="2:14" ht="12.75"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</row>
    <row r="760" spans="2:14" ht="12.75"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</row>
    <row r="761" spans="2:14" ht="12.75"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</row>
    <row r="762" spans="2:14" ht="12.75"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</row>
    <row r="763" spans="2:14" ht="12.75"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</row>
    <row r="764" spans="2:14" ht="12.75"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</row>
    <row r="765" spans="2:14" ht="12.75"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</row>
    <row r="766" spans="2:14" ht="12.75"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</row>
    <row r="767" spans="2:14" ht="12.75"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</row>
    <row r="768" spans="2:14" ht="12.75"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</row>
    <row r="769" spans="2:14" ht="12.75"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</row>
    <row r="770" spans="2:14" ht="12.75"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</row>
    <row r="771" spans="2:14" ht="12.75"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</row>
    <row r="772" spans="2:14" ht="12.75"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</row>
    <row r="773" spans="2:14" ht="12.75"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</row>
    <row r="774" spans="2:14" ht="12.75"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</row>
    <row r="775" spans="2:14" ht="12.75"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</row>
    <row r="776" spans="2:14" ht="12.75"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</row>
    <row r="777" spans="2:14" ht="12.75"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</row>
    <row r="778" spans="2:14" ht="12.75"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</row>
    <row r="779" spans="2:14" ht="12.75"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</row>
    <row r="780" spans="2:14" ht="12.75"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</row>
    <row r="781" spans="2:14" ht="12.75"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</row>
    <row r="782" spans="2:14" ht="12.75"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</row>
    <row r="783" spans="2:14" ht="12.75"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</row>
    <row r="784" spans="2:14" ht="12.75"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</row>
    <row r="785" spans="2:14" ht="12.75"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</row>
    <row r="786" spans="2:14" ht="12.75"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</row>
    <row r="787" spans="2:14" ht="12.75"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</row>
    <row r="788" spans="2:14" ht="12.75"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</row>
    <row r="789" spans="2:14" ht="12.75"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</row>
    <row r="790" spans="2:14" ht="12.75"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</row>
    <row r="791" spans="2:14" ht="12.75"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</row>
    <row r="792" spans="2:14" ht="12.75"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</row>
    <row r="793" spans="2:14" ht="12.75"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</row>
    <row r="794" spans="2:14" ht="12.75"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</row>
    <row r="795" spans="2:14" ht="12.75"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</row>
    <row r="796" spans="2:14" ht="12.75"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</row>
    <row r="797" spans="2:14" ht="12.75"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</row>
    <row r="798" spans="2:14" ht="12.75"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</row>
    <row r="799" spans="2:14" ht="12.75"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</row>
    <row r="800" spans="2:14" ht="12.75"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</row>
    <row r="801" spans="2:14" ht="12.75"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</row>
    <row r="802" spans="2:14" ht="12.75"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</row>
    <row r="803" spans="2:14" ht="12.75"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</row>
    <row r="804" spans="2:14" ht="12.75"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</row>
    <row r="805" spans="2:14" ht="12.75"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</row>
    <row r="806" spans="2:14" ht="12.75"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</row>
    <row r="807" spans="2:14" ht="12.75"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</row>
    <row r="808" spans="2:14" ht="12.75"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</row>
    <row r="809" spans="2:14" ht="12.75"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</row>
    <row r="810" spans="2:14" ht="12.75"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</row>
    <row r="811" spans="2:14" ht="12.75"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</row>
    <row r="812" spans="2:14" ht="12.75"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</row>
    <row r="813" spans="2:14" ht="12.75"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</row>
    <row r="814" spans="2:14" ht="12.75"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</row>
    <row r="815" spans="2:14" ht="12.75"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</row>
    <row r="816" spans="2:14" ht="12.75"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</row>
    <row r="817" spans="2:14" ht="12.75"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</row>
    <row r="818" spans="2:14" ht="12.75"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</row>
    <row r="819" spans="2:14" ht="12.75"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</row>
    <row r="820" spans="2:14" ht="12.75"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</row>
    <row r="821" spans="2:14" ht="12.75"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</row>
    <row r="822" spans="2:14" ht="12.75"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</row>
    <row r="823" spans="2:14" ht="12.75"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</row>
    <row r="824" spans="2:14" ht="12.75"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</row>
    <row r="825" spans="2:14" ht="12.75"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</row>
    <row r="826" spans="2:14" ht="12.75"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</row>
    <row r="827" spans="2:14" ht="12.75"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</row>
    <row r="828" spans="2:14" ht="12.75"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</row>
    <row r="829" spans="2:14" ht="12.75"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</row>
    <row r="830" spans="2:14" ht="12.75"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</row>
    <row r="831" spans="2:14" ht="12.75"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</row>
    <row r="832" spans="2:14" ht="12.75"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</row>
    <row r="833" spans="2:14" ht="12.75"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</row>
    <row r="834" spans="2:14" ht="12.75"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</row>
    <row r="835" spans="2:14" ht="12.75"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</row>
    <row r="836" spans="2:14" ht="12.75"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</row>
    <row r="837" spans="2:14" ht="12.75"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</row>
    <row r="838" spans="2:14" ht="12.75"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</row>
    <row r="839" spans="2:14" ht="12.75"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</row>
    <row r="840" spans="2:14" ht="12.75"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</row>
    <row r="841" spans="2:14" ht="12.75"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</row>
    <row r="842" spans="2:14" ht="12.75"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</row>
    <row r="843" spans="2:14" ht="12.75"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</row>
    <row r="844" spans="2:14" ht="12.75"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</row>
    <row r="845" spans="2:14" ht="12.75"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</row>
    <row r="846" spans="2:14" ht="12.75"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</row>
    <row r="847" spans="2:14" ht="12.75"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</row>
    <row r="848" spans="2:14" ht="12.75"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</row>
    <row r="849" spans="2:14" ht="12.75"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</row>
    <row r="850" spans="2:14" ht="12.75"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</row>
    <row r="851" spans="2:14" ht="12.75"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</row>
    <row r="852" spans="2:14" ht="12.75"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</row>
    <row r="853" spans="2:14" ht="12.75"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</row>
    <row r="854" spans="2:14" ht="12.75"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</row>
    <row r="855" spans="2:14" ht="12.75"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</row>
    <row r="856" spans="2:14" ht="12.75"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</row>
    <row r="857" spans="2:14" ht="12.75"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</row>
    <row r="858" spans="2:14" ht="12.75"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</row>
    <row r="859" spans="2:14" ht="12.75"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</row>
    <row r="860" spans="2:14" ht="12.75"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</row>
    <row r="861" spans="2:14" ht="12.75"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</row>
    <row r="862" spans="2:14" ht="12.75"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</row>
    <row r="863" spans="2:14" ht="12.75"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</row>
    <row r="864" spans="2:14" ht="12.75"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</row>
    <row r="865" spans="2:14" ht="12.75"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</row>
    <row r="866" spans="2:14" ht="12.75"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</row>
    <row r="867" spans="2:14" ht="12.75"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</row>
    <row r="868" spans="2:14" ht="12.75"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</row>
    <row r="869" spans="2:14" ht="12.75"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</row>
    <row r="870" spans="2:14" ht="12.75"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</row>
    <row r="871" spans="2:14" ht="12.75"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</row>
    <row r="872" spans="2:14" ht="12.75"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</row>
    <row r="873" spans="2:14" ht="12.75"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</row>
    <row r="874" spans="2:14" ht="12.75"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</row>
    <row r="875" spans="2:14" ht="12.75"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</row>
    <row r="876" spans="2:14" ht="12.75"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</row>
    <row r="877" spans="2:14" ht="12.75"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</row>
    <row r="878" spans="2:14" ht="12.75"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</row>
    <row r="879" spans="2:14" ht="12.75"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</row>
    <row r="880" spans="2:14" ht="12.75"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</row>
    <row r="881" spans="2:14" ht="12.75"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</row>
    <row r="882" spans="2:14" ht="12.75"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</row>
    <row r="883" spans="2:14" ht="12.75"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</row>
    <row r="884" spans="2:14" ht="12.75"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</row>
    <row r="885" spans="2:14" ht="12.75"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</row>
    <row r="886" spans="2:14" ht="12.75"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</row>
    <row r="887" spans="2:14" ht="12.75"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</row>
    <row r="888" spans="2:14" ht="12.75"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</row>
    <row r="889" spans="2:14" ht="12.75"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</row>
    <row r="890" spans="2:14" ht="12.75"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</row>
    <row r="891" spans="2:14" ht="12.75"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</row>
    <row r="892" spans="2:14" ht="12.75"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</row>
    <row r="893" spans="2:14" ht="12.75"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</row>
    <row r="894" spans="2:14" ht="12.75"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</row>
    <row r="895" spans="2:14" ht="12.75"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</row>
    <row r="896" spans="2:14" ht="12.75"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</row>
    <row r="897" spans="2:14" ht="12.75"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</row>
    <row r="898" spans="2:14" ht="12.75"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</row>
    <row r="899" spans="2:14" ht="12.75"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</row>
    <row r="900" spans="2:14" ht="12.75"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</row>
    <row r="901" spans="2:14" ht="12.75"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</row>
    <row r="902" spans="2:14" ht="12.75"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</row>
    <row r="903" spans="2:14" ht="12.75"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</row>
    <row r="904" spans="2:14" ht="12.75"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</row>
    <row r="905" spans="2:14" ht="12.75"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</row>
    <row r="906" spans="2:14" ht="12.75"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</row>
    <row r="907" spans="2:14" ht="12.75"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</row>
    <row r="908" spans="2:14" ht="12.75"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</row>
    <row r="909" spans="2:14" ht="12.75"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</row>
    <row r="910" spans="2:14" ht="12.75"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</row>
    <row r="911" spans="2:14" ht="12.75"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</row>
    <row r="912" spans="2:14" ht="12.75"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</row>
    <row r="913" spans="2:14" ht="12.75"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</row>
    <row r="914" spans="2:14" ht="12.75"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</row>
    <row r="915" spans="2:14" ht="12.75"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</row>
    <row r="916" spans="2:14" ht="12.75"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</row>
    <row r="917" spans="2:14" ht="12.75"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</row>
    <row r="918" spans="2:14" ht="12.75"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</row>
    <row r="919" spans="2:14" ht="12.75"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</row>
    <row r="920" spans="2:14" ht="12.75"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</row>
    <row r="921" spans="2:14" ht="12.75"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</row>
    <row r="922" spans="2:14" ht="12.75"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</row>
    <row r="923" spans="2:14" ht="12.75"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</row>
    <row r="924" spans="2:14" ht="12.75"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</row>
    <row r="925" spans="2:14" ht="12.75"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</row>
    <row r="926" spans="2:14" ht="12.75"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</row>
    <row r="927" spans="2:14" ht="12.75"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</row>
    <row r="928" spans="2:14" ht="12.75"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</row>
    <row r="929" spans="2:14" ht="12.75"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</row>
    <row r="930" spans="2:14" ht="12.75"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</row>
    <row r="931" spans="2:14" ht="12.75"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</row>
    <row r="932" spans="2:14" ht="12.75"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</row>
    <row r="933" spans="2:14" ht="12.75"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</row>
    <row r="934" spans="2:14" ht="12.75"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</row>
    <row r="935" spans="2:14" ht="12.75"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</row>
    <row r="936" spans="2:14" ht="12.75"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</row>
    <row r="937" spans="2:14" ht="12.75"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</row>
    <row r="938" spans="2:14" ht="12.75"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</row>
    <row r="939" spans="2:14" ht="12.75"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</row>
    <row r="940" spans="2:14" ht="12.75"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</row>
    <row r="941" spans="2:14" ht="12.75"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</row>
    <row r="942" spans="2:14" ht="12.75"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</row>
    <row r="943" spans="2:14" ht="12.75"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</row>
    <row r="944" spans="2:14" ht="12.75"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</row>
    <row r="945" spans="2:14" ht="12.75"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</row>
    <row r="946" spans="2:14" ht="12.75"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</row>
    <row r="947" spans="2:14" ht="12.75"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</row>
    <row r="948" spans="2:14" ht="12.75"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</row>
    <row r="949" spans="2:14" ht="12.75"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</row>
    <row r="950" spans="2:14" ht="12.75"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</row>
    <row r="951" spans="2:14" ht="12.75"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</row>
    <row r="952" spans="2:14" ht="12.75"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</row>
    <row r="953" spans="2:14" ht="12.75"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</row>
    <row r="954" spans="2:14" ht="12.75"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</row>
    <row r="955" spans="2:14" ht="12.75"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</row>
    <row r="956" spans="2:14" ht="12.75"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</row>
    <row r="957" spans="2:14" ht="12.75"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</row>
    <row r="958" spans="2:14" ht="12.75"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</row>
    <row r="959" spans="2:14" ht="12.75"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</row>
    <row r="960" spans="2:14" ht="12.75"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</row>
    <row r="961" spans="2:14" ht="12.75"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</row>
    <row r="962" spans="2:14" ht="12.75"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</row>
    <row r="963" spans="2:14" ht="12.75"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</row>
    <row r="964" spans="2:14" ht="12.75"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</row>
    <row r="965" spans="2:14" ht="12.75"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</row>
    <row r="966" spans="2:14" ht="12.75"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</row>
    <row r="967" spans="2:14" ht="12.75"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</row>
    <row r="968" spans="2:14" ht="12.75"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</row>
    <row r="969" spans="2:14" ht="12.75"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</row>
    <row r="970" spans="2:14" ht="12.75"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</row>
    <row r="971" spans="2:14" ht="12.75"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</row>
    <row r="972" spans="2:14" ht="12.75"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</row>
    <row r="973" spans="2:14" ht="12.75"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</row>
    <row r="974" spans="2:14" ht="12.75"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</row>
    <row r="975" spans="2:14" ht="12.75"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</row>
    <row r="976" spans="2:14" ht="12.75"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</row>
    <row r="977" spans="2:14" ht="12.75"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</row>
    <row r="978" spans="2:14" ht="12.75"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</row>
    <row r="979" spans="2:14" ht="12.75"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</row>
    <row r="980" spans="2:14" ht="12.75"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</row>
    <row r="981" spans="2:14" ht="12.75"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</row>
    <row r="982" spans="2:14" ht="12.75"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</row>
    <row r="983" spans="2:14" ht="12.75"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</row>
    <row r="984" spans="2:14" ht="12.75"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</row>
    <row r="985" spans="2:14" ht="12.75"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</row>
    <row r="986" spans="2:14" ht="12.75"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</row>
    <row r="987" spans="2:14" ht="12.75"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</row>
    <row r="988" spans="2:14" ht="12.75"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</row>
    <row r="989" spans="2:14" ht="12.75"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</row>
    <row r="990" spans="2:14" ht="12.75"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</row>
    <row r="991" spans="2:14" ht="12.75"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</row>
    <row r="992" spans="2:14" ht="12.75"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</row>
    <row r="993" spans="2:14" ht="12.75"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</row>
    <row r="994" spans="2:14" ht="12.75"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</row>
    <row r="995" spans="2:14" ht="12.75"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</row>
    <row r="996" spans="2:14" ht="12.75"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</row>
    <row r="997" spans="2:14" ht="12.75"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</row>
    <row r="998" spans="2:14" ht="12.75"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</row>
    <row r="999" spans="2:14" ht="12.75"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</row>
    <row r="1000" spans="2:14" ht="12.75"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</row>
    <row r="1001" spans="2:14" ht="12.75">
      <c r="B1001" s="113"/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</row>
    <row r="1002" spans="2:14" ht="12.75">
      <c r="B1002" s="113"/>
      <c r="C1002" s="113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</row>
    <row r="1003" spans="2:14" ht="12.75">
      <c r="B1003" s="113"/>
      <c r="C1003" s="113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</row>
    <row r="1004" spans="2:14" ht="12.75">
      <c r="B1004" s="113"/>
      <c r="C1004" s="113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</row>
    <row r="1005" spans="2:14" ht="12.75">
      <c r="B1005" s="113"/>
      <c r="C1005" s="113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</row>
    <row r="1006" spans="2:14" ht="12.75">
      <c r="B1006" s="113"/>
      <c r="C1006" s="113"/>
      <c r="D1006" s="113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</row>
    <row r="1007" spans="2:14" ht="12.75">
      <c r="B1007" s="113"/>
      <c r="C1007" s="113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</row>
    <row r="1008" spans="2:14" ht="12.75">
      <c r="B1008" s="113"/>
      <c r="C1008" s="113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</row>
    <row r="1009" spans="2:14" ht="12.75">
      <c r="B1009" s="113"/>
      <c r="C1009" s="113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</row>
    <row r="1010" spans="2:14" ht="12.75">
      <c r="B1010" s="113"/>
      <c r="C1010" s="113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</row>
    <row r="1011" spans="2:14" ht="12.75">
      <c r="B1011" s="113"/>
      <c r="C1011" s="113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</row>
    <row r="1012" spans="2:14" ht="12.75">
      <c r="B1012" s="113"/>
      <c r="C1012" s="113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</row>
    <row r="1013" spans="2:14" ht="12.75">
      <c r="B1013" s="113"/>
      <c r="C1013" s="113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</row>
    <row r="1014" spans="2:14" ht="12.75">
      <c r="B1014" s="113"/>
      <c r="C1014" s="113"/>
      <c r="D1014" s="113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</row>
    <row r="1015" spans="2:14" ht="12.75">
      <c r="B1015" s="113"/>
      <c r="C1015" s="113"/>
      <c r="D1015" s="113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</row>
    <row r="1016" spans="2:14" ht="12.75">
      <c r="B1016" s="113"/>
      <c r="C1016" s="113"/>
      <c r="D1016" s="113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</row>
    <row r="1017" spans="2:14" ht="12.75">
      <c r="B1017" s="113"/>
      <c r="C1017" s="113"/>
      <c r="D1017" s="113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</row>
    <row r="1018" spans="2:14" ht="12.75">
      <c r="B1018" s="113"/>
      <c r="C1018" s="113"/>
      <c r="D1018" s="113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</row>
    <row r="1019" spans="2:14" ht="12.75">
      <c r="B1019" s="113"/>
      <c r="C1019" s="113"/>
      <c r="D1019" s="113"/>
      <c r="E1019" s="113"/>
      <c r="F1019" s="113"/>
      <c r="G1019" s="113"/>
      <c r="H1019" s="113"/>
      <c r="I1019" s="113"/>
      <c r="J1019" s="113"/>
      <c r="K1019" s="113"/>
      <c r="L1019" s="113"/>
      <c r="M1019" s="113"/>
      <c r="N1019" s="113"/>
    </row>
    <row r="1020" spans="2:14" ht="12.75">
      <c r="B1020" s="113"/>
      <c r="C1020" s="113"/>
      <c r="D1020" s="113"/>
      <c r="E1020" s="113"/>
      <c r="F1020" s="113"/>
      <c r="G1020" s="113"/>
      <c r="H1020" s="113"/>
      <c r="I1020" s="113"/>
      <c r="J1020" s="113"/>
      <c r="K1020" s="113"/>
      <c r="L1020" s="113"/>
      <c r="M1020" s="113"/>
      <c r="N1020" s="113"/>
    </row>
    <row r="1021" spans="2:14" ht="12.75">
      <c r="B1021" s="113"/>
      <c r="C1021" s="113"/>
      <c r="D1021" s="113"/>
      <c r="E1021" s="113"/>
      <c r="F1021" s="113"/>
      <c r="G1021" s="113"/>
      <c r="H1021" s="113"/>
      <c r="I1021" s="113"/>
      <c r="J1021" s="113"/>
      <c r="K1021" s="113"/>
      <c r="L1021" s="113"/>
      <c r="M1021" s="113"/>
      <c r="N1021" s="113"/>
    </row>
    <row r="1022" spans="2:14" ht="12.75">
      <c r="B1022" s="113"/>
      <c r="C1022" s="113"/>
      <c r="D1022" s="113"/>
      <c r="E1022" s="113"/>
      <c r="F1022" s="113"/>
      <c r="G1022" s="113"/>
      <c r="H1022" s="113"/>
      <c r="I1022" s="113"/>
      <c r="J1022" s="113"/>
      <c r="K1022" s="113"/>
      <c r="L1022" s="113"/>
      <c r="M1022" s="113"/>
      <c r="N1022" s="113"/>
    </row>
    <row r="1023" spans="2:14" ht="12.75">
      <c r="B1023" s="113"/>
      <c r="C1023" s="113"/>
      <c r="D1023" s="113"/>
      <c r="E1023" s="113"/>
      <c r="F1023" s="113"/>
      <c r="G1023" s="113"/>
      <c r="H1023" s="113"/>
      <c r="I1023" s="113"/>
      <c r="J1023" s="113"/>
      <c r="K1023" s="113"/>
      <c r="L1023" s="113"/>
      <c r="M1023" s="113"/>
      <c r="N1023" s="113"/>
    </row>
    <row r="1024" spans="2:14" ht="12.75">
      <c r="B1024" s="113"/>
      <c r="C1024" s="113"/>
      <c r="D1024" s="113"/>
      <c r="E1024" s="113"/>
      <c r="F1024" s="113"/>
      <c r="G1024" s="113"/>
      <c r="H1024" s="113"/>
      <c r="I1024" s="113"/>
      <c r="J1024" s="113"/>
      <c r="K1024" s="113"/>
      <c r="L1024" s="113"/>
      <c r="M1024" s="113"/>
      <c r="N1024" s="113"/>
    </row>
    <row r="1025" spans="2:14" ht="12.75">
      <c r="B1025" s="113"/>
      <c r="C1025" s="113"/>
      <c r="D1025" s="113"/>
      <c r="E1025" s="113"/>
      <c r="F1025" s="113"/>
      <c r="G1025" s="113"/>
      <c r="H1025" s="113"/>
      <c r="I1025" s="113"/>
      <c r="J1025" s="113"/>
      <c r="K1025" s="113"/>
      <c r="L1025" s="113"/>
      <c r="M1025" s="113"/>
      <c r="N1025" s="113"/>
    </row>
    <row r="1026" spans="2:14" ht="12.75">
      <c r="B1026" s="113"/>
      <c r="C1026" s="113"/>
      <c r="D1026" s="113"/>
      <c r="E1026" s="113"/>
      <c r="F1026" s="113"/>
      <c r="G1026" s="113"/>
      <c r="H1026" s="113"/>
      <c r="I1026" s="113"/>
      <c r="J1026" s="113"/>
      <c r="K1026" s="113"/>
      <c r="L1026" s="113"/>
      <c r="M1026" s="113"/>
      <c r="N1026" s="113"/>
    </row>
    <row r="1027" spans="2:14" ht="12.75">
      <c r="B1027" s="113"/>
      <c r="C1027" s="113"/>
      <c r="D1027" s="113"/>
      <c r="E1027" s="113"/>
      <c r="F1027" s="113"/>
      <c r="G1027" s="113"/>
      <c r="H1027" s="113"/>
      <c r="I1027" s="113"/>
      <c r="J1027" s="113"/>
      <c r="K1027" s="113"/>
      <c r="L1027" s="113"/>
      <c r="M1027" s="113"/>
      <c r="N1027" s="113"/>
    </row>
    <row r="1028" spans="2:14" ht="12.75">
      <c r="B1028" s="113"/>
      <c r="C1028" s="113"/>
      <c r="D1028" s="113"/>
      <c r="E1028" s="113"/>
      <c r="F1028" s="113"/>
      <c r="G1028" s="113"/>
      <c r="H1028" s="113"/>
      <c r="I1028" s="113"/>
      <c r="J1028" s="113"/>
      <c r="K1028" s="113"/>
      <c r="L1028" s="113"/>
      <c r="M1028" s="113"/>
      <c r="N1028" s="113"/>
    </row>
    <row r="1029" spans="2:14" ht="12.75">
      <c r="B1029" s="113"/>
      <c r="C1029" s="113"/>
      <c r="D1029" s="113"/>
      <c r="E1029" s="113"/>
      <c r="F1029" s="113"/>
      <c r="G1029" s="113"/>
      <c r="H1029" s="113"/>
      <c r="I1029" s="113"/>
      <c r="J1029" s="113"/>
      <c r="K1029" s="113"/>
      <c r="L1029" s="113"/>
      <c r="M1029" s="113"/>
      <c r="N1029" s="113"/>
    </row>
    <row r="1030" spans="2:14" ht="12.75">
      <c r="B1030" s="113"/>
      <c r="C1030" s="113"/>
      <c r="D1030" s="113"/>
      <c r="E1030" s="113"/>
      <c r="F1030" s="113"/>
      <c r="G1030" s="113"/>
      <c r="H1030" s="113"/>
      <c r="I1030" s="113"/>
      <c r="J1030" s="113"/>
      <c r="K1030" s="113"/>
      <c r="L1030" s="113"/>
      <c r="M1030" s="113"/>
      <c r="N1030" s="113"/>
    </row>
    <row r="1031" spans="2:14" ht="12.75">
      <c r="B1031" s="113"/>
      <c r="C1031" s="113"/>
      <c r="D1031" s="113"/>
      <c r="E1031" s="113"/>
      <c r="F1031" s="113"/>
      <c r="G1031" s="113"/>
      <c r="H1031" s="113"/>
      <c r="I1031" s="113"/>
      <c r="J1031" s="113"/>
      <c r="K1031" s="113"/>
      <c r="L1031" s="113"/>
      <c r="M1031" s="113"/>
      <c r="N1031" s="113"/>
    </row>
    <row r="1032" spans="2:14" ht="12.75">
      <c r="B1032" s="113"/>
      <c r="C1032" s="113"/>
      <c r="D1032" s="113"/>
      <c r="E1032" s="113"/>
      <c r="F1032" s="113"/>
      <c r="G1032" s="113"/>
      <c r="H1032" s="113"/>
      <c r="I1032" s="113"/>
      <c r="J1032" s="113"/>
      <c r="K1032" s="113"/>
      <c r="L1032" s="113"/>
      <c r="M1032" s="113"/>
      <c r="N1032" s="113"/>
    </row>
    <row r="1033" spans="2:14" ht="12.75">
      <c r="B1033" s="113"/>
      <c r="C1033" s="113"/>
      <c r="D1033" s="113"/>
      <c r="E1033" s="113"/>
      <c r="F1033" s="113"/>
      <c r="G1033" s="113"/>
      <c r="H1033" s="113"/>
      <c r="I1033" s="113"/>
      <c r="J1033" s="113"/>
      <c r="K1033" s="113"/>
      <c r="L1033" s="113"/>
      <c r="M1033" s="113"/>
      <c r="N1033" s="113"/>
    </row>
    <row r="1034" spans="2:14" ht="12.75">
      <c r="B1034" s="113"/>
      <c r="C1034" s="113"/>
      <c r="D1034" s="113"/>
      <c r="E1034" s="113"/>
      <c r="F1034" s="113"/>
      <c r="G1034" s="113"/>
      <c r="H1034" s="113"/>
      <c r="I1034" s="113"/>
      <c r="J1034" s="113"/>
      <c r="K1034" s="113"/>
      <c r="L1034" s="113"/>
      <c r="M1034" s="113"/>
      <c r="N1034" s="113"/>
    </row>
    <row r="1035" spans="2:14" ht="12.75">
      <c r="B1035" s="113"/>
      <c r="C1035" s="113"/>
      <c r="D1035" s="113"/>
      <c r="E1035" s="113"/>
      <c r="F1035" s="113"/>
      <c r="G1035" s="113"/>
      <c r="H1035" s="113"/>
      <c r="I1035" s="113"/>
      <c r="J1035" s="113"/>
      <c r="K1035" s="113"/>
      <c r="L1035" s="113"/>
      <c r="M1035" s="113"/>
      <c r="N1035" s="113"/>
    </row>
    <row r="1036" spans="2:14" ht="12.75">
      <c r="B1036" s="113"/>
      <c r="C1036" s="113"/>
      <c r="D1036" s="113"/>
      <c r="E1036" s="113"/>
      <c r="F1036" s="113"/>
      <c r="G1036" s="113"/>
      <c r="H1036" s="113"/>
      <c r="I1036" s="113"/>
      <c r="J1036" s="113"/>
      <c r="K1036" s="113"/>
      <c r="L1036" s="113"/>
      <c r="M1036" s="113"/>
      <c r="N1036" s="113"/>
    </row>
    <row r="1037" spans="2:14" ht="12.75">
      <c r="B1037" s="113"/>
      <c r="C1037" s="113"/>
      <c r="D1037" s="113"/>
      <c r="E1037" s="113"/>
      <c r="F1037" s="113"/>
      <c r="G1037" s="113"/>
      <c r="H1037" s="113"/>
      <c r="I1037" s="113"/>
      <c r="J1037" s="113"/>
      <c r="K1037" s="113"/>
      <c r="L1037" s="113"/>
      <c r="M1037" s="113"/>
      <c r="N1037" s="113"/>
    </row>
    <row r="1038" spans="2:14" ht="12.75">
      <c r="B1038" s="113"/>
      <c r="C1038" s="113"/>
      <c r="D1038" s="113"/>
      <c r="E1038" s="113"/>
      <c r="F1038" s="113"/>
      <c r="G1038" s="113"/>
      <c r="H1038" s="113"/>
      <c r="I1038" s="113"/>
      <c r="J1038" s="113"/>
      <c r="K1038" s="113"/>
      <c r="L1038" s="113"/>
      <c r="M1038" s="113"/>
      <c r="N1038" s="113"/>
    </row>
    <row r="1039" spans="2:14" ht="12.75">
      <c r="B1039" s="113"/>
      <c r="C1039" s="113"/>
      <c r="D1039" s="113"/>
      <c r="E1039" s="113"/>
      <c r="F1039" s="113"/>
      <c r="G1039" s="113"/>
      <c r="H1039" s="113"/>
      <c r="I1039" s="113"/>
      <c r="J1039" s="113"/>
      <c r="K1039" s="113"/>
      <c r="L1039" s="113"/>
      <c r="M1039" s="113"/>
      <c r="N1039" s="113"/>
    </row>
    <row r="1040" spans="2:14" ht="12.75">
      <c r="B1040" s="113"/>
      <c r="C1040" s="113"/>
      <c r="D1040" s="113"/>
      <c r="E1040" s="113"/>
      <c r="F1040" s="113"/>
      <c r="G1040" s="113"/>
      <c r="H1040" s="113"/>
      <c r="I1040" s="113"/>
      <c r="J1040" s="113"/>
      <c r="K1040" s="113"/>
      <c r="L1040" s="113"/>
      <c r="M1040" s="113"/>
      <c r="N1040" s="113"/>
    </row>
    <row r="1041" spans="2:14" ht="12.75">
      <c r="B1041" s="113"/>
      <c r="C1041" s="113"/>
      <c r="D1041" s="113"/>
      <c r="E1041" s="113"/>
      <c r="F1041" s="113"/>
      <c r="G1041" s="113"/>
      <c r="H1041" s="113"/>
      <c r="I1041" s="113"/>
      <c r="J1041" s="113"/>
      <c r="K1041" s="113"/>
      <c r="L1041" s="113"/>
      <c r="M1041" s="113"/>
      <c r="N1041" s="113"/>
    </row>
    <row r="1042" spans="2:14" ht="12.75">
      <c r="B1042" s="113"/>
      <c r="C1042" s="113"/>
      <c r="D1042" s="113"/>
      <c r="E1042" s="113"/>
      <c r="F1042" s="113"/>
      <c r="G1042" s="113"/>
      <c r="H1042" s="113"/>
      <c r="I1042" s="113"/>
      <c r="J1042" s="113"/>
      <c r="K1042" s="113"/>
      <c r="L1042" s="113"/>
      <c r="M1042" s="113"/>
      <c r="N1042" s="113"/>
    </row>
    <row r="1043" spans="2:14" ht="12.75">
      <c r="B1043" s="113"/>
      <c r="C1043" s="113"/>
      <c r="D1043" s="113"/>
      <c r="E1043" s="113"/>
      <c r="F1043" s="113"/>
      <c r="G1043" s="113"/>
      <c r="H1043" s="113"/>
      <c r="I1043" s="113"/>
      <c r="J1043" s="113"/>
      <c r="K1043" s="113"/>
      <c r="L1043" s="113"/>
      <c r="M1043" s="113"/>
      <c r="N1043" s="113"/>
    </row>
    <row r="1044" spans="2:14" ht="12.75">
      <c r="B1044" s="113"/>
      <c r="C1044" s="113"/>
      <c r="D1044" s="113"/>
      <c r="E1044" s="113"/>
      <c r="F1044" s="113"/>
      <c r="G1044" s="113"/>
      <c r="H1044" s="113"/>
      <c r="I1044" s="113"/>
      <c r="J1044" s="113"/>
      <c r="K1044" s="113"/>
      <c r="L1044" s="113"/>
      <c r="M1044" s="113"/>
      <c r="N1044" s="113"/>
    </row>
    <row r="1045" spans="2:14" ht="12.75">
      <c r="B1045" s="113"/>
      <c r="C1045" s="113"/>
      <c r="D1045" s="113"/>
      <c r="E1045" s="113"/>
      <c r="F1045" s="113"/>
      <c r="G1045" s="113"/>
      <c r="H1045" s="113"/>
      <c r="I1045" s="113"/>
      <c r="J1045" s="113"/>
      <c r="K1045" s="113"/>
      <c r="L1045" s="113"/>
      <c r="M1045" s="113"/>
      <c r="N1045" s="113"/>
    </row>
    <row r="1046" spans="2:14" ht="12.75">
      <c r="B1046" s="113"/>
      <c r="C1046" s="113"/>
      <c r="D1046" s="113"/>
      <c r="E1046" s="113"/>
      <c r="F1046" s="113"/>
      <c r="G1046" s="113"/>
      <c r="H1046" s="113"/>
      <c r="I1046" s="113"/>
      <c r="J1046" s="113"/>
      <c r="K1046" s="113"/>
      <c r="L1046" s="113"/>
      <c r="M1046" s="113"/>
      <c r="N1046" s="113"/>
    </row>
    <row r="1047" spans="2:14" ht="12.75">
      <c r="B1047" s="113"/>
      <c r="C1047" s="113"/>
      <c r="D1047" s="113"/>
      <c r="E1047" s="113"/>
      <c r="F1047" s="113"/>
      <c r="G1047" s="113"/>
      <c r="H1047" s="113"/>
      <c r="I1047" s="113"/>
      <c r="J1047" s="113"/>
      <c r="K1047" s="113"/>
      <c r="L1047" s="113"/>
      <c r="M1047" s="113"/>
      <c r="N1047" s="113"/>
    </row>
    <row r="1048" spans="2:14" ht="12.75">
      <c r="B1048" s="113"/>
      <c r="C1048" s="113"/>
      <c r="D1048" s="113"/>
      <c r="E1048" s="113"/>
      <c r="F1048" s="113"/>
      <c r="G1048" s="113"/>
      <c r="H1048" s="113"/>
      <c r="I1048" s="113"/>
      <c r="J1048" s="113"/>
      <c r="K1048" s="113"/>
      <c r="L1048" s="113"/>
      <c r="M1048" s="113"/>
      <c r="N1048" s="113"/>
    </row>
    <row r="1049" spans="2:14" ht="12.75">
      <c r="B1049" s="113"/>
      <c r="C1049" s="113"/>
      <c r="D1049" s="113"/>
      <c r="E1049" s="113"/>
      <c r="F1049" s="113"/>
      <c r="G1049" s="113"/>
      <c r="H1049" s="113"/>
      <c r="I1049" s="113"/>
      <c r="J1049" s="113"/>
      <c r="K1049" s="113"/>
      <c r="L1049" s="113"/>
      <c r="M1049" s="113"/>
      <c r="N1049" s="113"/>
    </row>
    <row r="1050" spans="2:14" ht="12.75">
      <c r="B1050" s="113"/>
      <c r="C1050" s="113"/>
      <c r="D1050" s="113"/>
      <c r="E1050" s="113"/>
      <c r="F1050" s="113"/>
      <c r="G1050" s="113"/>
      <c r="H1050" s="113"/>
      <c r="I1050" s="113"/>
      <c r="J1050" s="113"/>
      <c r="K1050" s="113"/>
      <c r="L1050" s="113"/>
      <c r="M1050" s="113"/>
      <c r="N1050" s="113"/>
    </row>
    <row r="1051" spans="2:14" ht="12.75">
      <c r="B1051" s="113"/>
      <c r="C1051" s="113"/>
      <c r="D1051" s="113"/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</row>
    <row r="1052" spans="2:14" ht="12.75">
      <c r="B1052" s="113"/>
      <c r="C1052" s="113"/>
      <c r="D1052" s="113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</row>
    <row r="1053" spans="2:14" ht="12.75">
      <c r="B1053" s="113"/>
      <c r="C1053" s="113"/>
      <c r="D1053" s="113"/>
      <c r="E1053" s="113"/>
      <c r="F1053" s="113"/>
      <c r="G1053" s="113"/>
      <c r="H1053" s="113"/>
      <c r="I1053" s="113"/>
      <c r="J1053" s="113"/>
      <c r="K1053" s="113"/>
      <c r="L1053" s="113"/>
      <c r="M1053" s="113"/>
      <c r="N1053" s="113"/>
    </row>
    <row r="1054" spans="2:14" ht="12.75">
      <c r="B1054" s="113"/>
      <c r="C1054" s="113"/>
      <c r="D1054" s="113"/>
      <c r="E1054" s="113"/>
      <c r="F1054" s="113"/>
      <c r="G1054" s="113"/>
      <c r="H1054" s="113"/>
      <c r="I1054" s="113"/>
      <c r="J1054" s="113"/>
      <c r="K1054" s="113"/>
      <c r="L1054" s="113"/>
      <c r="M1054" s="113"/>
      <c r="N1054" s="113"/>
    </row>
    <row r="1055" spans="2:14" ht="12.75">
      <c r="B1055" s="113"/>
      <c r="C1055" s="113"/>
      <c r="D1055" s="113"/>
      <c r="E1055" s="113"/>
      <c r="F1055" s="113"/>
      <c r="G1055" s="113"/>
      <c r="H1055" s="113"/>
      <c r="I1055" s="113"/>
      <c r="J1055" s="113"/>
      <c r="K1055" s="113"/>
      <c r="L1055" s="113"/>
      <c r="M1055" s="113"/>
      <c r="N1055" s="113"/>
    </row>
    <row r="1056" spans="2:14" ht="12.75">
      <c r="B1056" s="113"/>
      <c r="C1056" s="113"/>
      <c r="D1056" s="113"/>
      <c r="E1056" s="113"/>
      <c r="F1056" s="113"/>
      <c r="G1056" s="113"/>
      <c r="H1056" s="113"/>
      <c r="I1056" s="113"/>
      <c r="J1056" s="113"/>
      <c r="K1056" s="113"/>
      <c r="L1056" s="113"/>
      <c r="M1056" s="113"/>
      <c r="N1056" s="113"/>
    </row>
    <row r="1057" spans="2:14" ht="12.75">
      <c r="B1057" s="113"/>
      <c r="C1057" s="113"/>
      <c r="D1057" s="113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</row>
    <row r="1058" spans="2:14" ht="12.75">
      <c r="B1058" s="113"/>
      <c r="C1058" s="113"/>
      <c r="D1058" s="113"/>
      <c r="E1058" s="113"/>
      <c r="F1058" s="113"/>
      <c r="G1058" s="113"/>
      <c r="H1058" s="113"/>
      <c r="I1058" s="113"/>
      <c r="J1058" s="113"/>
      <c r="K1058" s="113"/>
      <c r="L1058" s="113"/>
      <c r="M1058" s="113"/>
      <c r="N1058" s="113"/>
    </row>
    <row r="1059" spans="2:14" ht="12.75">
      <c r="B1059" s="113"/>
      <c r="C1059" s="113"/>
      <c r="D1059" s="113"/>
      <c r="E1059" s="113"/>
      <c r="F1059" s="113"/>
      <c r="G1059" s="113"/>
      <c r="H1059" s="113"/>
      <c r="I1059" s="113"/>
      <c r="J1059" s="113"/>
      <c r="K1059" s="113"/>
      <c r="L1059" s="113"/>
      <c r="M1059" s="113"/>
      <c r="N1059" s="113"/>
    </row>
    <row r="1060" spans="2:14" ht="12.75">
      <c r="B1060" s="113"/>
      <c r="C1060" s="113"/>
      <c r="D1060" s="113"/>
      <c r="E1060" s="113"/>
      <c r="F1060" s="113"/>
      <c r="G1060" s="113"/>
      <c r="H1060" s="113"/>
      <c r="I1060" s="113"/>
      <c r="J1060" s="113"/>
      <c r="K1060" s="113"/>
      <c r="L1060" s="113"/>
      <c r="M1060" s="113"/>
      <c r="N1060" s="113"/>
    </row>
    <row r="1061" spans="2:14" ht="12.75">
      <c r="B1061" s="113"/>
      <c r="C1061" s="113"/>
      <c r="D1061" s="113"/>
      <c r="E1061" s="113"/>
      <c r="F1061" s="113"/>
      <c r="G1061" s="113"/>
      <c r="H1061" s="113"/>
      <c r="I1061" s="113"/>
      <c r="J1061" s="113"/>
      <c r="K1061" s="113"/>
      <c r="L1061" s="113"/>
      <c r="M1061" s="113"/>
      <c r="N1061" s="113"/>
    </row>
    <row r="1062" spans="2:14" ht="12.75">
      <c r="B1062" s="113"/>
      <c r="C1062" s="113"/>
      <c r="D1062" s="113"/>
      <c r="E1062" s="113"/>
      <c r="F1062" s="113"/>
      <c r="G1062" s="113"/>
      <c r="H1062" s="113"/>
      <c r="I1062" s="113"/>
      <c r="J1062" s="113"/>
      <c r="K1062" s="113"/>
      <c r="L1062" s="113"/>
      <c r="M1062" s="113"/>
      <c r="N1062" s="113"/>
    </row>
    <row r="1063" spans="2:14" ht="12.75">
      <c r="B1063" s="113"/>
      <c r="C1063" s="113"/>
      <c r="D1063" s="113"/>
      <c r="E1063" s="113"/>
      <c r="F1063" s="113"/>
      <c r="G1063" s="113"/>
      <c r="H1063" s="113"/>
      <c r="I1063" s="113"/>
      <c r="J1063" s="113"/>
      <c r="K1063" s="113"/>
      <c r="L1063" s="113"/>
      <c r="M1063" s="113"/>
      <c r="N1063" s="113"/>
    </row>
    <row r="1064" spans="2:14" ht="12.75">
      <c r="B1064" s="113"/>
      <c r="C1064" s="113"/>
      <c r="D1064" s="113"/>
      <c r="E1064" s="113"/>
      <c r="F1064" s="113"/>
      <c r="G1064" s="113"/>
      <c r="H1064" s="113"/>
      <c r="I1064" s="113"/>
      <c r="J1064" s="113"/>
      <c r="K1064" s="113"/>
      <c r="L1064" s="113"/>
      <c r="M1064" s="113"/>
      <c r="N1064" s="113"/>
    </row>
    <row r="1065" spans="2:14" ht="12.75">
      <c r="B1065" s="113"/>
      <c r="C1065" s="113"/>
      <c r="D1065" s="113"/>
      <c r="E1065" s="113"/>
      <c r="F1065" s="113"/>
      <c r="G1065" s="113"/>
      <c r="H1065" s="113"/>
      <c r="I1065" s="113"/>
      <c r="J1065" s="113"/>
      <c r="K1065" s="113"/>
      <c r="L1065" s="113"/>
      <c r="M1065" s="113"/>
      <c r="N1065" s="113"/>
    </row>
    <row r="1066" spans="2:14" ht="12.75">
      <c r="B1066" s="113"/>
      <c r="C1066" s="113"/>
      <c r="D1066" s="113"/>
      <c r="E1066" s="113"/>
      <c r="F1066" s="113"/>
      <c r="G1066" s="113"/>
      <c r="H1066" s="113"/>
      <c r="I1066" s="113"/>
      <c r="J1066" s="113"/>
      <c r="K1066" s="113"/>
      <c r="L1066" s="113"/>
      <c r="M1066" s="113"/>
      <c r="N1066" s="113"/>
    </row>
    <row r="1067" spans="2:14" ht="12.75">
      <c r="B1067" s="113"/>
      <c r="C1067" s="113"/>
      <c r="D1067" s="113"/>
      <c r="E1067" s="113"/>
      <c r="F1067" s="113"/>
      <c r="G1067" s="113"/>
      <c r="H1067" s="113"/>
      <c r="I1067" s="113"/>
      <c r="J1067" s="113"/>
      <c r="K1067" s="113"/>
      <c r="L1067" s="113"/>
      <c r="M1067" s="113"/>
      <c r="N1067" s="113"/>
    </row>
    <row r="1068" spans="2:14" ht="12.75">
      <c r="B1068" s="113"/>
      <c r="C1068" s="113"/>
      <c r="D1068" s="113"/>
      <c r="E1068" s="113"/>
      <c r="F1068" s="113"/>
      <c r="G1068" s="113"/>
      <c r="H1068" s="113"/>
      <c r="I1068" s="113"/>
      <c r="J1068" s="113"/>
      <c r="K1068" s="113"/>
      <c r="L1068" s="113"/>
      <c r="M1068" s="113"/>
      <c r="N1068" s="113"/>
    </row>
    <row r="1069" spans="2:14" ht="12.75">
      <c r="B1069" s="113"/>
      <c r="C1069" s="113"/>
      <c r="D1069" s="113"/>
      <c r="E1069" s="113"/>
      <c r="F1069" s="113"/>
      <c r="G1069" s="113"/>
      <c r="H1069" s="113"/>
      <c r="I1069" s="113"/>
      <c r="J1069" s="113"/>
      <c r="K1069" s="113"/>
      <c r="L1069" s="113"/>
      <c r="M1069" s="113"/>
      <c r="N1069" s="113"/>
    </row>
    <row r="1070" spans="2:14" ht="12.75">
      <c r="B1070" s="113"/>
      <c r="C1070" s="113"/>
      <c r="D1070" s="113"/>
      <c r="E1070" s="113"/>
      <c r="F1070" s="113"/>
      <c r="G1070" s="113"/>
      <c r="H1070" s="113"/>
      <c r="I1070" s="113"/>
      <c r="J1070" s="113"/>
      <c r="K1070" s="113"/>
      <c r="L1070" s="113"/>
      <c r="M1070" s="113"/>
      <c r="N1070" s="113"/>
    </row>
    <row r="1071" spans="2:14" ht="12.75">
      <c r="B1071" s="113"/>
      <c r="C1071" s="113"/>
      <c r="D1071" s="113"/>
      <c r="E1071" s="113"/>
      <c r="F1071" s="113"/>
      <c r="G1071" s="113"/>
      <c r="H1071" s="113"/>
      <c r="I1071" s="113"/>
      <c r="J1071" s="113"/>
      <c r="K1071" s="113"/>
      <c r="L1071" s="113"/>
      <c r="M1071" s="113"/>
      <c r="N1071" s="113"/>
    </row>
    <row r="1072" spans="2:14" ht="12.75">
      <c r="B1072" s="113"/>
      <c r="C1072" s="113"/>
      <c r="D1072" s="113"/>
      <c r="E1072" s="113"/>
      <c r="F1072" s="113"/>
      <c r="G1072" s="113"/>
      <c r="H1072" s="113"/>
      <c r="I1072" s="113"/>
      <c r="J1072" s="113"/>
      <c r="K1072" s="113"/>
      <c r="L1072" s="113"/>
      <c r="M1072" s="113"/>
      <c r="N1072" s="113"/>
    </row>
    <row r="1073" spans="2:14" ht="12.75">
      <c r="B1073" s="113"/>
      <c r="C1073" s="113"/>
      <c r="D1073" s="113"/>
      <c r="E1073" s="113"/>
      <c r="F1073" s="113"/>
      <c r="G1073" s="113"/>
      <c r="H1073" s="113"/>
      <c r="I1073" s="113"/>
      <c r="J1073" s="113"/>
      <c r="K1073" s="113"/>
      <c r="L1073" s="113"/>
      <c r="M1073" s="113"/>
      <c r="N1073" s="113"/>
    </row>
    <row r="1074" spans="2:14" ht="12.75">
      <c r="B1074" s="113"/>
      <c r="C1074" s="113"/>
      <c r="D1074" s="113"/>
      <c r="E1074" s="113"/>
      <c r="F1074" s="113"/>
      <c r="G1074" s="113"/>
      <c r="H1074" s="113"/>
      <c r="I1074" s="113"/>
      <c r="J1074" s="113"/>
      <c r="K1074" s="113"/>
      <c r="L1074" s="113"/>
      <c r="M1074" s="113"/>
      <c r="N1074" s="113"/>
    </row>
    <row r="1075" spans="2:14" ht="12.75">
      <c r="B1075" s="113"/>
      <c r="C1075" s="113"/>
      <c r="D1075" s="113"/>
      <c r="E1075" s="113"/>
      <c r="F1075" s="113"/>
      <c r="G1075" s="113"/>
      <c r="H1075" s="113"/>
      <c r="I1075" s="113"/>
      <c r="J1075" s="113"/>
      <c r="K1075" s="113"/>
      <c r="L1075" s="113"/>
      <c r="M1075" s="113"/>
      <c r="N1075" s="113"/>
    </row>
    <row r="1076" spans="2:14" ht="12.75">
      <c r="B1076" s="113"/>
      <c r="C1076" s="113"/>
      <c r="D1076" s="113"/>
      <c r="E1076" s="113"/>
      <c r="F1076" s="113"/>
      <c r="G1076" s="113"/>
      <c r="H1076" s="113"/>
      <c r="I1076" s="113"/>
      <c r="J1076" s="113"/>
      <c r="K1076" s="113"/>
      <c r="L1076" s="113"/>
      <c r="M1076" s="113"/>
      <c r="N1076" s="113"/>
    </row>
    <row r="1077" spans="2:14" ht="12.75">
      <c r="B1077" s="113"/>
      <c r="C1077" s="113"/>
      <c r="D1077" s="113"/>
      <c r="E1077" s="113"/>
      <c r="F1077" s="113"/>
      <c r="G1077" s="113"/>
      <c r="H1077" s="113"/>
      <c r="I1077" s="113"/>
      <c r="J1077" s="113"/>
      <c r="K1077" s="113"/>
      <c r="L1077" s="113"/>
      <c r="M1077" s="113"/>
      <c r="N1077" s="113"/>
    </row>
    <row r="1078" spans="2:14" ht="12.75">
      <c r="B1078" s="113"/>
      <c r="C1078" s="113"/>
      <c r="D1078" s="113"/>
      <c r="E1078" s="113"/>
      <c r="F1078" s="113"/>
      <c r="G1078" s="113"/>
      <c r="H1078" s="113"/>
      <c r="I1078" s="113"/>
      <c r="J1078" s="113"/>
      <c r="K1078" s="113"/>
      <c r="L1078" s="113"/>
      <c r="M1078" s="113"/>
      <c r="N1078" s="113"/>
    </row>
    <row r="1079" spans="2:14" ht="12.75">
      <c r="B1079" s="113"/>
      <c r="C1079" s="113"/>
      <c r="D1079" s="113"/>
      <c r="E1079" s="113"/>
      <c r="F1079" s="113"/>
      <c r="G1079" s="113"/>
      <c r="H1079" s="113"/>
      <c r="I1079" s="113"/>
      <c r="J1079" s="113"/>
      <c r="K1079" s="113"/>
      <c r="L1079" s="113"/>
      <c r="M1079" s="113"/>
      <c r="N1079" s="113"/>
    </row>
    <row r="1080" spans="2:14" ht="12.75">
      <c r="B1080" s="113"/>
      <c r="C1080" s="113"/>
      <c r="D1080" s="113"/>
      <c r="E1080" s="113"/>
      <c r="F1080" s="113"/>
      <c r="G1080" s="113"/>
      <c r="H1080" s="113"/>
      <c r="I1080" s="113"/>
      <c r="J1080" s="113"/>
      <c r="K1080" s="113"/>
      <c r="L1080" s="113"/>
      <c r="M1080" s="113"/>
      <c r="N1080" s="113"/>
    </row>
    <row r="1081" spans="2:14" ht="12.75">
      <c r="B1081" s="113"/>
      <c r="C1081" s="113"/>
      <c r="D1081" s="113"/>
      <c r="E1081" s="113"/>
      <c r="F1081" s="113"/>
      <c r="G1081" s="113"/>
      <c r="H1081" s="113"/>
      <c r="I1081" s="113"/>
      <c r="J1081" s="113"/>
      <c r="K1081" s="113"/>
      <c r="L1081" s="113"/>
      <c r="M1081" s="113"/>
      <c r="N1081" s="113"/>
    </row>
    <row r="1082" spans="2:14" ht="12.75">
      <c r="B1082" s="113"/>
      <c r="C1082" s="113"/>
      <c r="D1082" s="113"/>
      <c r="E1082" s="113"/>
      <c r="F1082" s="113"/>
      <c r="G1082" s="113"/>
      <c r="H1082" s="113"/>
      <c r="I1082" s="113"/>
      <c r="J1082" s="113"/>
      <c r="K1082" s="113"/>
      <c r="L1082" s="113"/>
      <c r="M1082" s="113"/>
      <c r="N1082" s="113"/>
    </row>
    <row r="1083" spans="2:14" ht="12.75">
      <c r="B1083" s="113"/>
      <c r="C1083" s="113"/>
      <c r="D1083" s="113"/>
      <c r="E1083" s="113"/>
      <c r="F1083" s="113"/>
      <c r="G1083" s="113"/>
      <c r="H1083" s="113"/>
      <c r="I1083" s="113"/>
      <c r="J1083" s="113"/>
      <c r="K1083" s="113"/>
      <c r="L1083" s="113"/>
      <c r="M1083" s="113"/>
      <c r="N1083" s="113"/>
    </row>
    <row r="1084" spans="2:14" ht="12.75">
      <c r="B1084" s="113"/>
      <c r="C1084" s="113"/>
      <c r="D1084" s="113"/>
      <c r="E1084" s="113"/>
      <c r="F1084" s="113"/>
      <c r="G1084" s="113"/>
      <c r="H1084" s="113"/>
      <c r="I1084" s="113"/>
      <c r="J1084" s="113"/>
      <c r="K1084" s="113"/>
      <c r="L1084" s="113"/>
      <c r="M1084" s="113"/>
      <c r="N1084" s="113"/>
    </row>
    <row r="1085" spans="2:14" ht="12.75">
      <c r="B1085" s="113"/>
      <c r="C1085" s="113"/>
      <c r="D1085" s="113"/>
      <c r="E1085" s="113"/>
      <c r="F1085" s="113"/>
      <c r="G1085" s="113"/>
      <c r="H1085" s="113"/>
      <c r="I1085" s="113"/>
      <c r="J1085" s="113"/>
      <c r="K1085" s="113"/>
      <c r="L1085" s="113"/>
      <c r="M1085" s="113"/>
      <c r="N1085" s="113"/>
    </row>
    <row r="1086" spans="2:14" ht="12.75">
      <c r="B1086" s="113"/>
      <c r="C1086" s="113"/>
      <c r="D1086" s="113"/>
      <c r="E1086" s="113"/>
      <c r="F1086" s="113"/>
      <c r="G1086" s="113"/>
      <c r="H1086" s="113"/>
      <c r="I1086" s="113"/>
      <c r="J1086" s="113"/>
      <c r="K1086" s="113"/>
      <c r="L1086" s="113"/>
      <c r="M1086" s="113"/>
      <c r="N1086" s="113"/>
    </row>
    <row r="1087" spans="2:14" ht="12.75">
      <c r="B1087" s="113"/>
      <c r="C1087" s="113"/>
      <c r="D1087" s="113"/>
      <c r="E1087" s="113"/>
      <c r="F1087" s="113"/>
      <c r="G1087" s="113"/>
      <c r="H1087" s="113"/>
      <c r="I1087" s="113"/>
      <c r="J1087" s="113"/>
      <c r="K1087" s="113"/>
      <c r="L1087" s="113"/>
      <c r="M1087" s="113"/>
      <c r="N1087" s="113"/>
    </row>
    <row r="1088" spans="2:14" ht="12.75">
      <c r="B1088" s="113"/>
      <c r="C1088" s="113"/>
      <c r="D1088" s="113"/>
      <c r="E1088" s="113"/>
      <c r="F1088" s="113"/>
      <c r="G1088" s="113"/>
      <c r="H1088" s="113"/>
      <c r="I1088" s="113"/>
      <c r="J1088" s="113"/>
      <c r="K1088" s="113"/>
      <c r="L1088" s="113"/>
      <c r="M1088" s="113"/>
      <c r="N1088" s="113"/>
    </row>
    <row r="1089" spans="2:14" ht="12.75">
      <c r="B1089" s="113"/>
      <c r="C1089" s="113"/>
      <c r="D1089" s="113"/>
      <c r="E1089" s="113"/>
      <c r="F1089" s="113"/>
      <c r="G1089" s="113"/>
      <c r="H1089" s="113"/>
      <c r="I1089" s="113"/>
      <c r="J1089" s="113"/>
      <c r="K1089" s="113"/>
      <c r="L1089" s="113"/>
      <c r="M1089" s="113"/>
      <c r="N1089" s="113"/>
    </row>
    <row r="1090" spans="2:14" ht="12.75">
      <c r="B1090" s="113"/>
      <c r="C1090" s="113"/>
      <c r="D1090" s="113"/>
      <c r="E1090" s="113"/>
      <c r="F1090" s="113"/>
      <c r="G1090" s="113"/>
      <c r="H1090" s="113"/>
      <c r="I1090" s="113"/>
      <c r="J1090" s="113"/>
      <c r="K1090" s="113"/>
      <c r="L1090" s="113"/>
      <c r="M1090" s="113"/>
      <c r="N1090" s="113"/>
    </row>
    <row r="1091" spans="2:14" ht="12.75">
      <c r="B1091" s="113"/>
      <c r="C1091" s="113"/>
      <c r="D1091" s="113"/>
      <c r="E1091" s="113"/>
      <c r="F1091" s="113"/>
      <c r="G1091" s="113"/>
      <c r="H1091" s="113"/>
      <c r="I1091" s="113"/>
      <c r="J1091" s="113"/>
      <c r="K1091" s="113"/>
      <c r="L1091" s="113"/>
      <c r="M1091" s="113"/>
      <c r="N1091" s="113"/>
    </row>
    <row r="1092" spans="2:14" ht="12.75">
      <c r="B1092" s="113"/>
      <c r="C1092" s="113"/>
      <c r="D1092" s="113"/>
      <c r="E1092" s="113"/>
      <c r="F1092" s="113"/>
      <c r="G1092" s="113"/>
      <c r="H1092" s="113"/>
      <c r="I1092" s="113"/>
      <c r="J1092" s="113"/>
      <c r="K1092" s="113"/>
      <c r="L1092" s="113"/>
      <c r="M1092" s="113"/>
      <c r="N1092" s="113"/>
    </row>
    <row r="1093" spans="2:14" ht="12.75">
      <c r="B1093" s="113"/>
      <c r="C1093" s="113"/>
      <c r="D1093" s="113"/>
      <c r="E1093" s="113"/>
      <c r="F1093" s="113"/>
      <c r="G1093" s="113"/>
      <c r="H1093" s="113"/>
      <c r="I1093" s="113"/>
      <c r="J1093" s="113"/>
      <c r="K1093" s="113"/>
      <c r="L1093" s="113"/>
      <c r="M1093" s="113"/>
      <c r="N1093" s="113"/>
    </row>
    <row r="1094" spans="2:14" ht="12.75">
      <c r="B1094" s="113"/>
      <c r="C1094" s="113"/>
      <c r="D1094" s="113"/>
      <c r="E1094" s="113"/>
      <c r="F1094" s="113"/>
      <c r="G1094" s="113"/>
      <c r="H1094" s="113"/>
      <c r="I1094" s="113"/>
      <c r="J1094" s="113"/>
      <c r="K1094" s="113"/>
      <c r="L1094" s="113"/>
      <c r="M1094" s="113"/>
      <c r="N1094" s="113"/>
    </row>
    <row r="1095" spans="2:14" ht="12.75">
      <c r="B1095" s="113"/>
      <c r="C1095" s="113"/>
      <c r="D1095" s="113"/>
      <c r="E1095" s="113"/>
      <c r="F1095" s="113"/>
      <c r="G1095" s="113"/>
      <c r="H1095" s="113"/>
      <c r="I1095" s="113"/>
      <c r="J1095" s="113"/>
      <c r="K1095" s="113"/>
      <c r="L1095" s="113"/>
      <c r="M1095" s="113"/>
      <c r="N1095" s="113"/>
    </row>
    <row r="1096" spans="2:14" ht="12.75">
      <c r="B1096" s="113"/>
      <c r="C1096" s="113"/>
      <c r="D1096" s="113"/>
      <c r="E1096" s="113"/>
      <c r="F1096" s="113"/>
      <c r="G1096" s="113"/>
      <c r="H1096" s="113"/>
      <c r="I1096" s="113"/>
      <c r="J1096" s="113"/>
      <c r="K1096" s="113"/>
      <c r="L1096" s="113"/>
      <c r="M1096" s="113"/>
      <c r="N1096" s="113"/>
    </row>
    <row r="1097" spans="2:14" ht="12.75">
      <c r="B1097" s="113"/>
      <c r="C1097" s="113"/>
      <c r="D1097" s="113"/>
      <c r="E1097" s="113"/>
      <c r="F1097" s="113"/>
      <c r="G1097" s="113"/>
      <c r="H1097" s="113"/>
      <c r="I1097" s="113"/>
      <c r="J1097" s="113"/>
      <c r="K1097" s="113"/>
      <c r="L1097" s="113"/>
      <c r="M1097" s="113"/>
      <c r="N1097" s="113"/>
    </row>
    <row r="1098" spans="2:14" ht="12.75">
      <c r="B1098" s="113"/>
      <c r="C1098" s="113"/>
      <c r="D1098" s="113"/>
      <c r="E1098" s="113"/>
      <c r="F1098" s="113"/>
      <c r="G1098" s="113"/>
      <c r="H1098" s="113"/>
      <c r="I1098" s="113"/>
      <c r="J1098" s="113"/>
      <c r="K1098" s="113"/>
      <c r="L1098" s="113"/>
      <c r="M1098" s="113"/>
      <c r="N1098" s="113"/>
    </row>
    <row r="1099" spans="2:14" ht="12.75">
      <c r="B1099" s="113"/>
      <c r="C1099" s="113"/>
      <c r="D1099" s="113"/>
      <c r="E1099" s="113"/>
      <c r="F1099" s="113"/>
      <c r="G1099" s="113"/>
      <c r="H1099" s="113"/>
      <c r="I1099" s="113"/>
      <c r="J1099" s="113"/>
      <c r="K1099" s="113"/>
      <c r="L1099" s="113"/>
      <c r="M1099" s="113"/>
      <c r="N1099" s="113"/>
    </row>
    <row r="1100" spans="2:14" ht="12.75">
      <c r="B1100" s="113"/>
      <c r="C1100" s="113"/>
      <c r="D1100" s="113"/>
      <c r="E1100" s="113"/>
      <c r="F1100" s="113"/>
      <c r="G1100" s="113"/>
      <c r="H1100" s="113"/>
      <c r="I1100" s="113"/>
      <c r="J1100" s="113"/>
      <c r="K1100" s="113"/>
      <c r="L1100" s="113"/>
      <c r="M1100" s="113"/>
      <c r="N1100" s="113"/>
    </row>
    <row r="1101" spans="2:14" ht="12.75">
      <c r="B1101" s="113"/>
      <c r="C1101" s="113"/>
      <c r="D1101" s="113"/>
      <c r="E1101" s="113"/>
      <c r="F1101" s="113"/>
      <c r="G1101" s="113"/>
      <c r="H1101" s="113"/>
      <c r="I1101" s="113"/>
      <c r="J1101" s="113"/>
      <c r="K1101" s="113"/>
      <c r="L1101" s="113"/>
      <c r="M1101" s="113"/>
      <c r="N1101" s="113"/>
    </row>
    <row r="1102" spans="2:14" ht="12.75">
      <c r="B1102" s="113"/>
      <c r="C1102" s="113"/>
      <c r="D1102" s="113"/>
      <c r="E1102" s="113"/>
      <c r="F1102" s="113"/>
      <c r="G1102" s="113"/>
      <c r="H1102" s="113"/>
      <c r="I1102" s="113"/>
      <c r="J1102" s="113"/>
      <c r="K1102" s="113"/>
      <c r="L1102" s="113"/>
      <c r="M1102" s="113"/>
      <c r="N1102" s="113"/>
    </row>
    <row r="1103" spans="2:14" ht="12.75">
      <c r="B1103" s="113"/>
      <c r="C1103" s="113"/>
      <c r="D1103" s="113"/>
      <c r="E1103" s="113"/>
      <c r="F1103" s="113"/>
      <c r="G1103" s="113"/>
      <c r="H1103" s="113"/>
      <c r="I1103" s="113"/>
      <c r="J1103" s="113"/>
      <c r="K1103" s="113"/>
      <c r="L1103" s="113"/>
      <c r="M1103" s="113"/>
      <c r="N1103" s="113"/>
    </row>
    <row r="1104" spans="2:14" ht="12.75">
      <c r="B1104" s="113"/>
      <c r="C1104" s="113"/>
      <c r="D1104" s="113"/>
      <c r="E1104" s="113"/>
      <c r="F1104" s="113"/>
      <c r="G1104" s="113"/>
      <c r="H1104" s="113"/>
      <c r="I1104" s="113"/>
      <c r="J1104" s="113"/>
      <c r="K1104" s="113"/>
      <c r="L1104" s="113"/>
      <c r="M1104" s="113"/>
      <c r="N1104" s="113"/>
    </row>
    <row r="1105" spans="2:14" ht="12.75">
      <c r="B1105" s="113"/>
      <c r="C1105" s="113"/>
      <c r="D1105" s="113"/>
      <c r="E1105" s="113"/>
      <c r="F1105" s="113"/>
      <c r="G1105" s="113"/>
      <c r="H1105" s="113"/>
      <c r="I1105" s="113"/>
      <c r="J1105" s="113"/>
      <c r="K1105" s="113"/>
      <c r="L1105" s="113"/>
      <c r="M1105" s="113"/>
      <c r="N1105" s="113"/>
    </row>
    <row r="1106" spans="2:14" ht="12.75">
      <c r="B1106" s="113"/>
      <c r="C1106" s="113"/>
      <c r="D1106" s="113"/>
      <c r="E1106" s="113"/>
      <c r="F1106" s="113"/>
      <c r="G1106" s="113"/>
      <c r="H1106" s="113"/>
      <c r="I1106" s="113"/>
      <c r="J1106" s="113"/>
      <c r="K1106" s="113"/>
      <c r="L1106" s="113"/>
      <c r="M1106" s="113"/>
      <c r="N1106" s="113"/>
    </row>
    <row r="1107" spans="2:14" ht="12.75">
      <c r="B1107" s="113"/>
      <c r="C1107" s="113"/>
      <c r="D1107" s="113"/>
      <c r="E1107" s="113"/>
      <c r="F1107" s="113"/>
      <c r="G1107" s="113"/>
      <c r="H1107" s="113"/>
      <c r="I1107" s="113"/>
      <c r="J1107" s="113"/>
      <c r="K1107" s="113"/>
      <c r="L1107" s="113"/>
      <c r="M1107" s="113"/>
      <c r="N1107" s="113"/>
    </row>
    <row r="1108" spans="2:14" ht="12.75">
      <c r="B1108" s="113"/>
      <c r="C1108" s="113"/>
      <c r="D1108" s="113"/>
      <c r="E1108" s="113"/>
      <c r="F1108" s="113"/>
      <c r="G1108" s="113"/>
      <c r="H1108" s="113"/>
      <c r="I1108" s="113"/>
      <c r="J1108" s="113"/>
      <c r="K1108" s="113"/>
      <c r="L1108" s="113"/>
      <c r="M1108" s="113"/>
      <c r="N1108" s="113"/>
    </row>
    <row r="1109" spans="2:14" ht="12.75">
      <c r="B1109" s="113"/>
      <c r="C1109" s="113"/>
      <c r="D1109" s="113"/>
      <c r="E1109" s="113"/>
      <c r="F1109" s="113"/>
      <c r="G1109" s="113"/>
      <c r="H1109" s="113"/>
      <c r="I1109" s="113"/>
      <c r="J1109" s="113"/>
      <c r="K1109" s="113"/>
      <c r="L1109" s="113"/>
      <c r="M1109" s="113"/>
      <c r="N1109" s="113"/>
    </row>
    <row r="1110" spans="2:14" ht="12.75">
      <c r="B1110" s="113"/>
      <c r="C1110" s="113"/>
      <c r="D1110" s="113"/>
      <c r="E1110" s="113"/>
      <c r="F1110" s="113"/>
      <c r="G1110" s="113"/>
      <c r="H1110" s="113"/>
      <c r="I1110" s="113"/>
      <c r="J1110" s="113"/>
      <c r="K1110" s="113"/>
      <c r="L1110" s="113"/>
      <c r="M1110" s="113"/>
      <c r="N1110" s="113"/>
    </row>
    <row r="1111" spans="2:14" ht="12.75">
      <c r="B1111" s="113"/>
      <c r="C1111" s="113"/>
      <c r="D1111" s="113"/>
      <c r="E1111" s="113"/>
      <c r="F1111" s="113"/>
      <c r="G1111" s="113"/>
      <c r="H1111" s="113"/>
      <c r="I1111" s="113"/>
      <c r="J1111" s="113"/>
      <c r="K1111" s="113"/>
      <c r="L1111" s="113"/>
      <c r="M1111" s="113"/>
      <c r="N1111" s="113"/>
    </row>
    <row r="1112" spans="2:14" ht="12.75">
      <c r="B1112" s="113"/>
      <c r="C1112" s="113"/>
      <c r="D1112" s="113"/>
      <c r="E1112" s="113"/>
      <c r="F1112" s="113"/>
      <c r="G1112" s="113"/>
      <c r="H1112" s="113"/>
      <c r="I1112" s="113"/>
      <c r="J1112" s="113"/>
      <c r="K1112" s="113"/>
      <c r="L1112" s="113"/>
      <c r="M1112" s="113"/>
      <c r="N1112" s="113"/>
    </row>
    <row r="1113" spans="2:14" ht="12.75">
      <c r="B1113" s="113"/>
      <c r="C1113" s="113"/>
      <c r="D1113" s="113"/>
      <c r="E1113" s="113"/>
      <c r="F1113" s="113"/>
      <c r="G1113" s="113"/>
      <c r="H1113" s="113"/>
      <c r="I1113" s="113"/>
      <c r="J1113" s="113"/>
      <c r="K1113" s="113"/>
      <c r="L1113" s="113"/>
      <c r="M1113" s="113"/>
      <c r="N1113" s="113"/>
    </row>
    <row r="1114" spans="2:14" ht="12.75">
      <c r="B1114" s="113"/>
      <c r="C1114" s="113"/>
      <c r="D1114" s="113"/>
      <c r="E1114" s="113"/>
      <c r="F1114" s="113"/>
      <c r="G1114" s="113"/>
      <c r="H1114" s="113"/>
      <c r="I1114" s="113"/>
      <c r="J1114" s="113"/>
      <c r="K1114" s="113"/>
      <c r="L1114" s="113"/>
      <c r="M1114" s="113"/>
      <c r="N1114" s="113"/>
    </row>
    <row r="1115" spans="2:14" ht="12.75">
      <c r="B1115" s="113"/>
      <c r="C1115" s="113"/>
      <c r="D1115" s="113"/>
      <c r="E1115" s="113"/>
      <c r="F1115" s="113"/>
      <c r="G1115" s="113"/>
      <c r="H1115" s="113"/>
      <c r="I1115" s="113"/>
      <c r="J1115" s="113"/>
      <c r="K1115" s="113"/>
      <c r="L1115" s="113"/>
      <c r="M1115" s="113"/>
      <c r="N1115" s="113"/>
    </row>
    <row r="1116" spans="2:14" ht="12.75">
      <c r="B1116" s="113"/>
      <c r="C1116" s="113"/>
      <c r="D1116" s="113"/>
      <c r="E1116" s="113"/>
      <c r="F1116" s="113"/>
      <c r="G1116" s="113"/>
      <c r="H1116" s="113"/>
      <c r="I1116" s="113"/>
      <c r="J1116" s="113"/>
      <c r="K1116" s="113"/>
      <c r="L1116" s="113"/>
      <c r="M1116" s="113"/>
      <c r="N1116" s="113"/>
    </row>
    <row r="1117" spans="2:14" ht="12.75">
      <c r="B1117" s="113"/>
      <c r="C1117" s="113"/>
      <c r="D1117" s="113"/>
      <c r="E1117" s="113"/>
      <c r="F1117" s="113"/>
      <c r="G1117" s="113"/>
      <c r="H1117" s="113"/>
      <c r="I1117" s="113"/>
      <c r="J1117" s="113"/>
      <c r="K1117" s="113"/>
      <c r="L1117" s="113"/>
      <c r="M1117" s="113"/>
      <c r="N1117" s="113"/>
    </row>
    <row r="1118" spans="2:14" ht="12.75">
      <c r="B1118" s="113"/>
      <c r="C1118" s="113"/>
      <c r="D1118" s="113"/>
      <c r="E1118" s="113"/>
      <c r="F1118" s="113"/>
      <c r="G1118" s="113"/>
      <c r="H1118" s="113"/>
      <c r="I1118" s="113"/>
      <c r="J1118" s="113"/>
      <c r="K1118" s="113"/>
      <c r="L1118" s="113"/>
      <c r="M1118" s="113"/>
      <c r="N1118" s="113"/>
    </row>
    <row r="1119" spans="2:14" ht="12.75">
      <c r="B1119" s="113"/>
      <c r="C1119" s="113"/>
      <c r="D1119" s="113"/>
      <c r="E1119" s="113"/>
      <c r="F1119" s="113"/>
      <c r="G1119" s="113"/>
      <c r="H1119" s="113"/>
      <c r="I1119" s="113"/>
      <c r="J1119" s="113"/>
      <c r="K1119" s="113"/>
      <c r="L1119" s="113"/>
      <c r="M1119" s="113"/>
      <c r="N1119" s="113"/>
    </row>
    <row r="1120" spans="2:14" ht="12.75">
      <c r="B1120" s="113"/>
      <c r="C1120" s="113"/>
      <c r="D1120" s="113"/>
      <c r="E1120" s="113"/>
      <c r="F1120" s="113"/>
      <c r="G1120" s="113"/>
      <c r="H1120" s="113"/>
      <c r="I1120" s="113"/>
      <c r="J1120" s="113"/>
      <c r="K1120" s="113"/>
      <c r="L1120" s="113"/>
      <c r="M1120" s="113"/>
      <c r="N1120" s="113"/>
    </row>
    <row r="1121" spans="2:14" ht="12.75">
      <c r="B1121" s="113"/>
      <c r="C1121" s="113"/>
      <c r="D1121" s="113"/>
      <c r="E1121" s="113"/>
      <c r="F1121" s="113"/>
      <c r="G1121" s="113"/>
      <c r="H1121" s="113"/>
      <c r="I1121" s="113"/>
      <c r="J1121" s="113"/>
      <c r="K1121" s="113"/>
      <c r="L1121" s="113"/>
      <c r="M1121" s="113"/>
      <c r="N1121" s="113"/>
    </row>
    <row r="1122" spans="2:14" ht="12.75">
      <c r="B1122" s="113"/>
      <c r="C1122" s="113"/>
      <c r="D1122" s="113"/>
      <c r="E1122" s="113"/>
      <c r="F1122" s="113"/>
      <c r="G1122" s="113"/>
      <c r="H1122" s="113"/>
      <c r="I1122" s="113"/>
      <c r="J1122" s="113"/>
      <c r="K1122" s="113"/>
      <c r="L1122" s="113"/>
      <c r="M1122" s="113"/>
      <c r="N1122" s="113"/>
    </row>
    <row r="1123" spans="2:14" ht="12.75">
      <c r="B1123" s="113"/>
      <c r="C1123" s="113"/>
      <c r="D1123" s="113"/>
      <c r="E1123" s="113"/>
      <c r="F1123" s="113"/>
      <c r="G1123" s="113"/>
      <c r="H1123" s="113"/>
      <c r="I1123" s="113"/>
      <c r="J1123" s="113"/>
      <c r="K1123" s="113"/>
      <c r="L1123" s="113"/>
      <c r="M1123" s="113"/>
      <c r="N1123" s="113"/>
    </row>
    <row r="1124" spans="2:14" ht="12.75">
      <c r="B1124" s="113"/>
      <c r="C1124" s="113"/>
      <c r="D1124" s="113"/>
      <c r="E1124" s="113"/>
      <c r="F1124" s="113"/>
      <c r="G1124" s="113"/>
      <c r="H1124" s="113"/>
      <c r="I1124" s="113"/>
      <c r="J1124" s="113"/>
      <c r="K1124" s="113"/>
      <c r="L1124" s="113"/>
      <c r="M1124" s="113"/>
      <c r="N1124" s="113"/>
    </row>
    <row r="1125" spans="2:14" ht="12.75">
      <c r="B1125" s="113"/>
      <c r="C1125" s="113"/>
      <c r="D1125" s="113"/>
      <c r="E1125" s="113"/>
      <c r="F1125" s="113"/>
      <c r="G1125" s="113"/>
      <c r="H1125" s="113"/>
      <c r="I1125" s="113"/>
      <c r="J1125" s="113"/>
      <c r="K1125" s="113"/>
      <c r="L1125" s="113"/>
      <c r="M1125" s="113"/>
      <c r="N1125" s="113"/>
    </row>
    <row r="1126" spans="2:14" ht="12.75">
      <c r="B1126" s="113"/>
      <c r="C1126" s="113"/>
      <c r="D1126" s="113"/>
      <c r="E1126" s="113"/>
      <c r="F1126" s="113"/>
      <c r="G1126" s="113"/>
      <c r="H1126" s="113"/>
      <c r="I1126" s="113"/>
      <c r="J1126" s="113"/>
      <c r="K1126" s="113"/>
      <c r="L1126" s="113"/>
      <c r="M1126" s="113"/>
      <c r="N1126" s="113"/>
    </row>
    <row r="1127" spans="2:14" ht="12.75">
      <c r="B1127" s="113"/>
      <c r="C1127" s="113"/>
      <c r="D1127" s="113"/>
      <c r="E1127" s="113"/>
      <c r="F1127" s="113"/>
      <c r="G1127" s="113"/>
      <c r="H1127" s="113"/>
      <c r="I1127" s="113"/>
      <c r="J1127" s="113"/>
      <c r="K1127" s="113"/>
      <c r="L1127" s="113"/>
      <c r="M1127" s="113"/>
      <c r="N1127" s="113"/>
    </row>
    <row r="1128" spans="2:14" ht="12.75">
      <c r="B1128" s="113"/>
      <c r="C1128" s="113"/>
      <c r="D1128" s="113"/>
      <c r="E1128" s="113"/>
      <c r="F1128" s="113"/>
      <c r="G1128" s="113"/>
      <c r="H1128" s="113"/>
      <c r="I1128" s="113"/>
      <c r="J1128" s="113"/>
      <c r="K1128" s="113"/>
      <c r="L1128" s="113"/>
      <c r="M1128" s="113"/>
      <c r="N1128" s="113"/>
    </row>
    <row r="1129" spans="2:14" ht="12.75">
      <c r="B1129" s="113"/>
      <c r="C1129" s="113"/>
      <c r="D1129" s="113"/>
      <c r="E1129" s="113"/>
      <c r="F1129" s="113"/>
      <c r="G1129" s="113"/>
      <c r="H1129" s="113"/>
      <c r="I1129" s="113"/>
      <c r="J1129" s="113"/>
      <c r="K1129" s="113"/>
      <c r="L1129" s="113"/>
      <c r="M1129" s="113"/>
      <c r="N1129" s="113"/>
    </row>
    <row r="1130" spans="2:14" ht="12.75">
      <c r="B1130" s="113"/>
      <c r="C1130" s="113"/>
      <c r="D1130" s="113"/>
      <c r="E1130" s="113"/>
      <c r="F1130" s="113"/>
      <c r="G1130" s="113"/>
      <c r="H1130" s="113"/>
      <c r="I1130" s="113"/>
      <c r="J1130" s="113"/>
      <c r="K1130" s="113"/>
      <c r="L1130" s="113"/>
      <c r="M1130" s="113"/>
      <c r="N1130" s="113"/>
    </row>
    <row r="1131" spans="2:14" ht="12.75">
      <c r="B1131" s="113"/>
      <c r="C1131" s="113"/>
      <c r="D1131" s="113"/>
      <c r="E1131" s="113"/>
      <c r="F1131" s="113"/>
      <c r="G1131" s="113"/>
      <c r="H1131" s="113"/>
      <c r="I1131" s="113"/>
      <c r="J1131" s="113"/>
      <c r="K1131" s="113"/>
      <c r="L1131" s="113"/>
      <c r="M1131" s="113"/>
      <c r="N1131" s="113"/>
    </row>
    <row r="1132" spans="2:14" ht="12.75">
      <c r="B1132" s="113"/>
      <c r="C1132" s="113"/>
      <c r="D1132" s="113"/>
      <c r="E1132" s="113"/>
      <c r="F1132" s="113"/>
      <c r="G1132" s="113"/>
      <c r="H1132" s="113"/>
      <c r="I1132" s="113"/>
      <c r="J1132" s="113"/>
      <c r="K1132" s="113"/>
      <c r="L1132" s="113"/>
      <c r="M1132" s="113"/>
      <c r="N1132" s="113"/>
    </row>
    <row r="1133" spans="2:14" ht="12.75">
      <c r="B1133" s="113"/>
      <c r="C1133" s="113"/>
      <c r="D1133" s="113"/>
      <c r="E1133" s="113"/>
      <c r="F1133" s="113"/>
      <c r="G1133" s="113"/>
      <c r="H1133" s="113"/>
      <c r="I1133" s="113"/>
      <c r="J1133" s="113"/>
      <c r="K1133" s="113"/>
      <c r="L1133" s="113"/>
      <c r="M1133" s="113"/>
      <c r="N1133" s="113"/>
    </row>
    <row r="1134" spans="2:14" ht="12.75">
      <c r="B1134" s="113"/>
      <c r="C1134" s="113"/>
      <c r="D1134" s="113"/>
      <c r="E1134" s="113"/>
      <c r="F1134" s="113"/>
      <c r="G1134" s="113"/>
      <c r="H1134" s="113"/>
      <c r="I1134" s="113"/>
      <c r="J1134" s="113"/>
      <c r="K1134" s="113"/>
      <c r="L1134" s="113"/>
      <c r="M1134" s="113"/>
      <c r="N1134" s="113"/>
    </row>
    <row r="1135" spans="2:14" ht="12.75">
      <c r="B1135" s="113"/>
      <c r="C1135" s="113"/>
      <c r="D1135" s="113"/>
      <c r="E1135" s="113"/>
      <c r="F1135" s="113"/>
      <c r="G1135" s="113"/>
      <c r="H1135" s="113"/>
      <c r="I1135" s="113"/>
      <c r="J1135" s="113"/>
      <c r="K1135" s="113"/>
      <c r="L1135" s="113"/>
      <c r="M1135" s="113"/>
      <c r="N1135" s="113"/>
    </row>
    <row r="1136" spans="2:14" ht="12.75">
      <c r="B1136" s="113"/>
      <c r="C1136" s="113"/>
      <c r="D1136" s="113"/>
      <c r="E1136" s="113"/>
      <c r="F1136" s="113"/>
      <c r="G1136" s="113"/>
      <c r="H1136" s="113"/>
      <c r="I1136" s="113"/>
      <c r="J1136" s="113"/>
      <c r="K1136" s="113"/>
      <c r="L1136" s="113"/>
      <c r="M1136" s="113"/>
      <c r="N1136" s="113"/>
    </row>
    <row r="1137" spans="2:14" ht="12.75">
      <c r="B1137" s="113"/>
      <c r="C1137" s="113"/>
      <c r="D1137" s="113"/>
      <c r="E1137" s="113"/>
      <c r="F1137" s="113"/>
      <c r="G1137" s="113"/>
      <c r="H1137" s="113"/>
      <c r="I1137" s="113"/>
      <c r="J1137" s="113"/>
      <c r="K1137" s="113"/>
      <c r="L1137" s="113"/>
      <c r="M1137" s="113"/>
      <c r="N1137" s="113"/>
    </row>
    <row r="1138" spans="2:14" ht="12.75">
      <c r="B1138" s="113"/>
      <c r="C1138" s="113"/>
      <c r="D1138" s="113"/>
      <c r="E1138" s="113"/>
      <c r="F1138" s="113"/>
      <c r="G1138" s="113"/>
      <c r="H1138" s="113"/>
      <c r="I1138" s="113"/>
      <c r="J1138" s="113"/>
      <c r="K1138" s="113"/>
      <c r="L1138" s="113"/>
      <c r="M1138" s="113"/>
      <c r="N1138" s="113"/>
    </row>
    <row r="1139" spans="2:14" ht="12.75">
      <c r="B1139" s="113"/>
      <c r="C1139" s="113"/>
      <c r="D1139" s="113"/>
      <c r="E1139" s="113"/>
      <c r="F1139" s="113"/>
      <c r="G1139" s="113"/>
      <c r="H1139" s="113"/>
      <c r="I1139" s="113"/>
      <c r="J1139" s="113"/>
      <c r="K1139" s="113"/>
      <c r="L1139" s="113"/>
      <c r="M1139" s="113"/>
      <c r="N1139" s="113"/>
    </row>
    <row r="1140" spans="2:14" ht="12.75">
      <c r="B1140" s="113"/>
      <c r="C1140" s="113"/>
      <c r="D1140" s="113"/>
      <c r="E1140" s="113"/>
      <c r="F1140" s="113"/>
      <c r="G1140" s="113"/>
      <c r="H1140" s="113"/>
      <c r="I1140" s="113"/>
      <c r="J1140" s="113"/>
      <c r="K1140" s="113"/>
      <c r="L1140" s="113"/>
      <c r="M1140" s="113"/>
      <c r="N1140" s="113"/>
    </row>
    <row r="1141" spans="2:14" ht="12.75">
      <c r="B1141" s="113"/>
      <c r="C1141" s="113"/>
      <c r="D1141" s="113"/>
      <c r="E1141" s="113"/>
      <c r="F1141" s="113"/>
      <c r="G1141" s="113"/>
      <c r="H1141" s="113"/>
      <c r="I1141" s="113"/>
      <c r="J1141" s="113"/>
      <c r="K1141" s="113"/>
      <c r="L1141" s="113"/>
      <c r="M1141" s="113"/>
      <c r="N1141" s="113"/>
    </row>
    <row r="1142" spans="2:14" ht="12.75">
      <c r="B1142" s="113"/>
      <c r="C1142" s="113"/>
      <c r="D1142" s="113"/>
      <c r="E1142" s="113"/>
      <c r="F1142" s="113"/>
      <c r="G1142" s="113"/>
      <c r="H1142" s="113"/>
      <c r="I1142" s="113"/>
      <c r="J1142" s="113"/>
      <c r="K1142" s="113"/>
      <c r="L1142" s="113"/>
      <c r="M1142" s="113"/>
      <c r="N1142" s="113"/>
    </row>
    <row r="1143" spans="2:14" ht="12.75">
      <c r="B1143" s="113"/>
      <c r="C1143" s="113"/>
      <c r="D1143" s="113"/>
      <c r="E1143" s="113"/>
      <c r="F1143" s="113"/>
      <c r="G1143" s="113"/>
      <c r="H1143" s="113"/>
      <c r="I1143" s="113"/>
      <c r="J1143" s="113"/>
      <c r="K1143" s="113"/>
      <c r="L1143" s="113"/>
      <c r="M1143" s="113"/>
      <c r="N1143" s="113"/>
    </row>
    <row r="1144" spans="2:14" ht="12.75">
      <c r="B1144" s="113"/>
      <c r="C1144" s="113"/>
      <c r="D1144" s="113"/>
      <c r="E1144" s="113"/>
      <c r="F1144" s="113"/>
      <c r="G1144" s="113"/>
      <c r="H1144" s="113"/>
      <c r="I1144" s="113"/>
      <c r="J1144" s="113"/>
      <c r="K1144" s="113"/>
      <c r="L1144" s="113"/>
      <c r="M1144" s="113"/>
      <c r="N1144" s="113"/>
    </row>
    <row r="1145" spans="2:14" ht="12.75">
      <c r="B1145" s="113"/>
      <c r="C1145" s="113"/>
      <c r="D1145" s="113"/>
      <c r="E1145" s="113"/>
      <c r="F1145" s="113"/>
      <c r="G1145" s="113"/>
      <c r="H1145" s="113"/>
      <c r="I1145" s="113"/>
      <c r="J1145" s="113"/>
      <c r="K1145" s="113"/>
      <c r="L1145" s="113"/>
      <c r="M1145" s="113"/>
      <c r="N1145" s="113"/>
    </row>
    <row r="1146" spans="2:14" ht="12.75">
      <c r="B1146" s="113"/>
      <c r="C1146" s="113"/>
      <c r="D1146" s="113"/>
      <c r="E1146" s="113"/>
      <c r="F1146" s="113"/>
      <c r="G1146" s="113"/>
      <c r="H1146" s="113"/>
      <c r="I1146" s="113"/>
      <c r="J1146" s="113"/>
      <c r="K1146" s="113"/>
      <c r="L1146" s="113"/>
      <c r="M1146" s="113"/>
      <c r="N1146" s="113"/>
    </row>
    <row r="1147" spans="2:14" ht="12.75">
      <c r="B1147" s="113"/>
      <c r="C1147" s="113"/>
      <c r="D1147" s="113"/>
      <c r="E1147" s="113"/>
      <c r="F1147" s="113"/>
      <c r="G1147" s="113"/>
      <c r="H1147" s="113"/>
      <c r="I1147" s="113"/>
      <c r="J1147" s="113"/>
      <c r="K1147" s="113"/>
      <c r="L1147" s="113"/>
      <c r="M1147" s="113"/>
      <c r="N1147" s="113"/>
    </row>
    <row r="1148" spans="2:14" ht="12.75">
      <c r="B1148" s="113"/>
      <c r="C1148" s="113"/>
      <c r="D1148" s="113"/>
      <c r="E1148" s="113"/>
      <c r="F1148" s="113"/>
      <c r="G1148" s="113"/>
      <c r="H1148" s="113"/>
      <c r="I1148" s="113"/>
      <c r="J1148" s="113"/>
      <c r="K1148" s="113"/>
      <c r="L1148" s="113"/>
      <c r="M1148" s="113"/>
      <c r="N1148" s="113"/>
    </row>
    <row r="1149" spans="2:14" ht="12.75">
      <c r="B1149" s="113"/>
      <c r="C1149" s="113"/>
      <c r="D1149" s="113"/>
      <c r="E1149" s="113"/>
      <c r="F1149" s="113"/>
      <c r="G1149" s="113"/>
      <c r="H1149" s="113"/>
      <c r="I1149" s="113"/>
      <c r="J1149" s="113"/>
      <c r="K1149" s="113"/>
      <c r="L1149" s="113"/>
      <c r="M1149" s="113"/>
      <c r="N1149" s="113"/>
    </row>
    <row r="1150" spans="2:14" ht="12.75">
      <c r="B1150" s="113"/>
      <c r="C1150" s="113"/>
      <c r="D1150" s="113"/>
      <c r="E1150" s="113"/>
      <c r="F1150" s="113"/>
      <c r="G1150" s="113"/>
      <c r="H1150" s="113"/>
      <c r="I1150" s="113"/>
      <c r="J1150" s="113"/>
      <c r="K1150" s="113"/>
      <c r="L1150" s="113"/>
      <c r="M1150" s="113"/>
      <c r="N1150" s="113"/>
    </row>
    <row r="1151" spans="2:14" ht="12.75">
      <c r="B1151" s="113"/>
      <c r="C1151" s="113"/>
      <c r="D1151" s="113"/>
      <c r="E1151" s="113"/>
      <c r="F1151" s="113"/>
      <c r="G1151" s="113"/>
      <c r="H1151" s="113"/>
      <c r="I1151" s="113"/>
      <c r="J1151" s="113"/>
      <c r="K1151" s="113"/>
      <c r="L1151" s="113"/>
      <c r="M1151" s="113"/>
      <c r="N1151" s="113"/>
    </row>
    <row r="1152" spans="2:14" ht="12.75">
      <c r="B1152" s="113"/>
      <c r="C1152" s="113"/>
      <c r="D1152" s="113"/>
      <c r="E1152" s="113"/>
      <c r="F1152" s="113"/>
      <c r="G1152" s="113"/>
      <c r="H1152" s="113"/>
      <c r="I1152" s="113"/>
      <c r="J1152" s="113"/>
      <c r="K1152" s="113"/>
      <c r="L1152" s="113"/>
      <c r="M1152" s="113"/>
      <c r="N1152" s="113"/>
    </row>
    <row r="1153" spans="2:14" ht="12.75">
      <c r="B1153" s="113"/>
      <c r="C1153" s="113"/>
      <c r="D1153" s="113"/>
      <c r="E1153" s="113"/>
      <c r="F1153" s="113"/>
      <c r="G1153" s="113"/>
      <c r="H1153" s="113"/>
      <c r="I1153" s="113"/>
      <c r="J1153" s="113"/>
      <c r="K1153" s="113"/>
      <c r="L1153" s="113"/>
      <c r="M1153" s="113"/>
      <c r="N1153" s="113"/>
    </row>
    <row r="1154" spans="2:14" ht="12.75">
      <c r="B1154" s="113"/>
      <c r="C1154" s="113"/>
      <c r="D1154" s="113"/>
      <c r="E1154" s="113"/>
      <c r="F1154" s="113"/>
      <c r="G1154" s="113"/>
      <c r="H1154" s="113"/>
      <c r="I1154" s="113"/>
      <c r="J1154" s="113"/>
      <c r="K1154" s="113"/>
      <c r="L1154" s="113"/>
      <c r="M1154" s="113"/>
      <c r="N1154" s="113"/>
    </row>
    <row r="1155" spans="2:14" ht="12.75">
      <c r="B1155" s="113"/>
      <c r="C1155" s="113"/>
      <c r="D1155" s="113"/>
      <c r="E1155" s="113"/>
      <c r="F1155" s="113"/>
      <c r="G1155" s="113"/>
      <c r="H1155" s="113"/>
      <c r="I1155" s="113"/>
      <c r="J1155" s="113"/>
      <c r="K1155" s="113"/>
      <c r="L1155" s="113"/>
      <c r="M1155" s="113"/>
      <c r="N1155" s="113"/>
    </row>
    <row r="1156" spans="2:14" ht="12.75">
      <c r="B1156" s="113"/>
      <c r="C1156" s="113"/>
      <c r="D1156" s="113"/>
      <c r="E1156" s="113"/>
      <c r="F1156" s="113"/>
      <c r="G1156" s="113"/>
      <c r="H1156" s="113"/>
      <c r="I1156" s="113"/>
      <c r="J1156" s="113"/>
      <c r="K1156" s="113"/>
      <c r="L1156" s="113"/>
      <c r="M1156" s="113"/>
      <c r="N1156" s="113"/>
    </row>
    <row r="1157" spans="2:14" ht="12.75">
      <c r="B1157" s="113"/>
      <c r="C1157" s="113"/>
      <c r="D1157" s="113"/>
      <c r="E1157" s="113"/>
      <c r="F1157" s="113"/>
      <c r="G1157" s="113"/>
      <c r="H1157" s="113"/>
      <c r="I1157" s="113"/>
      <c r="J1157" s="113"/>
      <c r="K1157" s="113"/>
      <c r="L1157" s="113"/>
      <c r="M1157" s="113"/>
      <c r="N1157" s="113"/>
    </row>
    <row r="1158" spans="2:14" ht="12.75">
      <c r="B1158" s="113"/>
      <c r="C1158" s="113"/>
      <c r="D1158" s="113"/>
      <c r="E1158" s="113"/>
      <c r="F1158" s="113"/>
      <c r="G1158" s="113"/>
      <c r="H1158" s="113"/>
      <c r="I1158" s="113"/>
      <c r="J1158" s="113"/>
      <c r="K1158" s="113"/>
      <c r="L1158" s="113"/>
      <c r="M1158" s="113"/>
      <c r="N1158" s="113"/>
    </row>
    <row r="1159" spans="2:14" ht="12.75">
      <c r="B1159" s="113"/>
      <c r="C1159" s="113"/>
      <c r="D1159" s="113"/>
      <c r="E1159" s="113"/>
      <c r="F1159" s="113"/>
      <c r="G1159" s="113"/>
      <c r="H1159" s="113"/>
      <c r="I1159" s="113"/>
      <c r="J1159" s="113"/>
      <c r="K1159" s="113"/>
      <c r="L1159" s="113"/>
      <c r="M1159" s="113"/>
      <c r="N1159" s="113"/>
    </row>
    <row r="1160" spans="2:14" ht="12.75">
      <c r="B1160" s="113"/>
      <c r="C1160" s="113"/>
      <c r="D1160" s="113"/>
      <c r="E1160" s="113"/>
      <c r="F1160" s="113"/>
      <c r="G1160" s="113"/>
      <c r="H1160" s="113"/>
      <c r="I1160" s="113"/>
      <c r="J1160" s="113"/>
      <c r="K1160" s="113"/>
      <c r="L1160" s="113"/>
      <c r="M1160" s="113"/>
      <c r="N1160" s="113"/>
    </row>
    <row r="1161" spans="2:14" ht="12.75">
      <c r="B1161" s="113"/>
      <c r="C1161" s="113"/>
      <c r="D1161" s="113"/>
      <c r="E1161" s="113"/>
      <c r="F1161" s="113"/>
      <c r="G1161" s="113"/>
      <c r="H1161" s="113"/>
      <c r="I1161" s="113"/>
      <c r="J1161" s="113"/>
      <c r="K1161" s="113"/>
      <c r="L1161" s="113"/>
      <c r="M1161" s="113"/>
      <c r="N1161" s="113"/>
    </row>
    <row r="1162" spans="2:14" ht="12.75">
      <c r="B1162" s="113"/>
      <c r="C1162" s="113"/>
      <c r="D1162" s="113"/>
      <c r="E1162" s="113"/>
      <c r="F1162" s="113"/>
      <c r="G1162" s="113"/>
      <c r="H1162" s="113"/>
      <c r="I1162" s="113"/>
      <c r="J1162" s="113"/>
      <c r="K1162" s="113"/>
      <c r="L1162" s="113"/>
      <c r="M1162" s="113"/>
      <c r="N1162" s="113"/>
    </row>
    <row r="1163" spans="2:14" ht="12.75">
      <c r="B1163" s="113"/>
      <c r="C1163" s="113"/>
      <c r="D1163" s="113"/>
      <c r="E1163" s="113"/>
      <c r="F1163" s="113"/>
      <c r="G1163" s="113"/>
      <c r="H1163" s="113"/>
      <c r="I1163" s="113"/>
      <c r="J1163" s="113"/>
      <c r="K1163" s="113"/>
      <c r="L1163" s="113"/>
      <c r="M1163" s="113"/>
      <c r="N1163" s="113"/>
    </row>
    <row r="1164" spans="2:14" ht="12.75">
      <c r="B1164" s="113"/>
      <c r="C1164" s="113"/>
      <c r="D1164" s="113"/>
      <c r="E1164" s="113"/>
      <c r="F1164" s="113"/>
      <c r="G1164" s="113"/>
      <c r="H1164" s="113"/>
      <c r="I1164" s="113"/>
      <c r="J1164" s="113"/>
      <c r="K1164" s="113"/>
      <c r="L1164" s="113"/>
      <c r="M1164" s="113"/>
      <c r="N1164" s="113"/>
    </row>
    <row r="1165" spans="2:14" ht="12.75">
      <c r="B1165" s="113"/>
      <c r="C1165" s="113"/>
      <c r="D1165" s="113"/>
      <c r="E1165" s="113"/>
      <c r="F1165" s="113"/>
      <c r="G1165" s="113"/>
      <c r="H1165" s="113"/>
      <c r="I1165" s="113"/>
      <c r="J1165" s="113"/>
      <c r="K1165" s="113"/>
      <c r="L1165" s="113"/>
      <c r="M1165" s="113"/>
      <c r="N1165" s="113"/>
    </row>
    <row r="1166" spans="2:14" ht="12.75">
      <c r="B1166" s="113"/>
      <c r="C1166" s="113"/>
      <c r="D1166" s="113"/>
      <c r="E1166" s="113"/>
      <c r="F1166" s="113"/>
      <c r="G1166" s="113"/>
      <c r="H1166" s="113"/>
      <c r="I1166" s="113"/>
      <c r="J1166" s="113"/>
      <c r="K1166" s="113"/>
      <c r="L1166" s="113"/>
      <c r="M1166" s="113"/>
      <c r="N1166" s="113"/>
    </row>
    <row r="1167" spans="2:14" ht="12.75">
      <c r="B1167" s="113"/>
      <c r="C1167" s="113"/>
      <c r="D1167" s="113"/>
      <c r="E1167" s="113"/>
      <c r="F1167" s="113"/>
      <c r="G1167" s="113"/>
      <c r="H1167" s="113"/>
      <c r="I1167" s="113"/>
      <c r="J1167" s="113"/>
      <c r="K1167" s="113"/>
      <c r="L1167" s="113"/>
      <c r="M1167" s="113"/>
      <c r="N1167" s="113"/>
    </row>
    <row r="1168" spans="2:14" ht="12.75">
      <c r="B1168" s="113"/>
      <c r="C1168" s="113"/>
      <c r="D1168" s="113"/>
      <c r="E1168" s="113"/>
      <c r="F1168" s="113"/>
      <c r="G1168" s="113"/>
      <c r="H1168" s="113"/>
      <c r="I1168" s="113"/>
      <c r="J1168" s="113"/>
      <c r="K1168" s="113"/>
      <c r="L1168" s="113"/>
      <c r="M1168" s="113"/>
      <c r="N1168" s="113"/>
    </row>
    <row r="1169" spans="2:14" ht="12.75">
      <c r="B1169" s="113"/>
      <c r="C1169" s="113"/>
      <c r="D1169" s="113"/>
      <c r="E1169" s="113"/>
      <c r="F1169" s="113"/>
      <c r="G1169" s="113"/>
      <c r="H1169" s="113"/>
      <c r="I1169" s="113"/>
      <c r="J1169" s="113"/>
      <c r="K1169" s="113"/>
      <c r="L1169" s="113"/>
      <c r="M1169" s="113"/>
      <c r="N1169" s="113"/>
    </row>
    <row r="1170" spans="2:14" ht="12.75">
      <c r="B1170" s="113"/>
      <c r="C1170" s="113"/>
      <c r="D1170" s="113"/>
      <c r="E1170" s="113"/>
      <c r="F1170" s="113"/>
      <c r="G1170" s="113"/>
      <c r="H1170" s="113"/>
      <c r="I1170" s="113"/>
      <c r="J1170" s="113"/>
      <c r="K1170" s="113"/>
      <c r="L1170" s="113"/>
      <c r="M1170" s="113"/>
      <c r="N1170" s="113"/>
    </row>
    <row r="1171" spans="2:14" ht="12.75">
      <c r="B1171" s="113"/>
      <c r="C1171" s="113"/>
      <c r="D1171" s="113"/>
      <c r="E1171" s="113"/>
      <c r="F1171" s="113"/>
      <c r="G1171" s="113"/>
      <c r="H1171" s="113"/>
      <c r="I1171" s="113"/>
      <c r="J1171" s="113"/>
      <c r="K1171" s="113"/>
      <c r="L1171" s="113"/>
      <c r="M1171" s="113"/>
      <c r="N1171" s="113"/>
    </row>
    <row r="1172" spans="2:14" ht="12.75">
      <c r="B1172" s="113"/>
      <c r="C1172" s="113"/>
      <c r="D1172" s="113"/>
      <c r="E1172" s="113"/>
      <c r="F1172" s="113"/>
      <c r="G1172" s="113"/>
      <c r="H1172" s="113"/>
      <c r="I1172" s="113"/>
      <c r="J1172" s="113"/>
      <c r="K1172" s="113"/>
      <c r="L1172" s="113"/>
      <c r="M1172" s="113"/>
      <c r="N1172" s="113"/>
    </row>
    <row r="1173" spans="2:14" ht="12.75">
      <c r="B1173" s="113"/>
      <c r="C1173" s="113"/>
      <c r="D1173" s="113"/>
      <c r="E1173" s="113"/>
      <c r="F1173" s="113"/>
      <c r="G1173" s="113"/>
      <c r="H1173" s="113"/>
      <c r="I1173" s="113"/>
      <c r="J1173" s="113"/>
      <c r="K1173" s="113"/>
      <c r="L1173" s="113"/>
      <c r="M1173" s="113"/>
      <c r="N1173" s="113"/>
    </row>
    <row r="1174" spans="2:14" ht="12.75">
      <c r="B1174" s="113"/>
      <c r="C1174" s="113"/>
      <c r="D1174" s="113"/>
      <c r="E1174" s="113"/>
      <c r="F1174" s="113"/>
      <c r="G1174" s="113"/>
      <c r="H1174" s="113"/>
      <c r="I1174" s="113"/>
      <c r="J1174" s="113"/>
      <c r="K1174" s="113"/>
      <c r="L1174" s="113"/>
      <c r="M1174" s="113"/>
      <c r="N1174" s="113"/>
    </row>
    <row r="1175" spans="2:14" ht="12.75">
      <c r="B1175" s="113"/>
      <c r="C1175" s="113"/>
      <c r="D1175" s="113"/>
      <c r="E1175" s="113"/>
      <c r="F1175" s="113"/>
      <c r="G1175" s="113"/>
      <c r="H1175" s="113"/>
      <c r="I1175" s="113"/>
      <c r="J1175" s="113"/>
      <c r="K1175" s="113"/>
      <c r="L1175" s="113"/>
      <c r="M1175" s="113"/>
      <c r="N1175" s="113"/>
    </row>
    <row r="1176" spans="2:14" ht="12.75">
      <c r="B1176" s="113"/>
      <c r="C1176" s="113"/>
      <c r="D1176" s="113"/>
      <c r="E1176" s="113"/>
      <c r="F1176" s="113"/>
      <c r="G1176" s="113"/>
      <c r="H1176" s="113"/>
      <c r="I1176" s="113"/>
      <c r="J1176" s="113"/>
      <c r="K1176" s="113"/>
      <c r="L1176" s="113"/>
      <c r="M1176" s="113"/>
      <c r="N1176" s="113"/>
    </row>
    <row r="1177" spans="2:14" ht="12.75">
      <c r="B1177" s="113"/>
      <c r="C1177" s="113"/>
      <c r="D1177" s="113"/>
      <c r="E1177" s="113"/>
      <c r="F1177" s="113"/>
      <c r="G1177" s="113"/>
      <c r="H1177" s="113"/>
      <c r="I1177" s="113"/>
      <c r="J1177" s="113"/>
      <c r="K1177" s="113"/>
      <c r="L1177" s="113"/>
      <c r="M1177" s="113"/>
      <c r="N1177" s="113"/>
    </row>
    <row r="1178" spans="2:14" ht="12.75">
      <c r="B1178" s="113"/>
      <c r="C1178" s="113"/>
      <c r="D1178" s="113"/>
      <c r="E1178" s="113"/>
      <c r="F1178" s="113"/>
      <c r="G1178" s="113"/>
      <c r="H1178" s="113"/>
      <c r="I1178" s="113"/>
      <c r="J1178" s="113"/>
      <c r="K1178" s="113"/>
      <c r="L1178" s="113"/>
      <c r="M1178" s="113"/>
      <c r="N1178" s="113"/>
    </row>
    <row r="1179" spans="2:14" ht="12.75">
      <c r="B1179" s="113"/>
      <c r="C1179" s="113"/>
      <c r="D1179" s="113"/>
      <c r="E1179" s="113"/>
      <c r="F1179" s="113"/>
      <c r="G1179" s="113"/>
      <c r="H1179" s="113"/>
      <c r="I1179" s="113"/>
      <c r="J1179" s="113"/>
      <c r="K1179" s="113"/>
      <c r="L1179" s="113"/>
      <c r="M1179" s="113"/>
      <c r="N1179" s="113"/>
    </row>
    <row r="1180" spans="2:14" ht="12.75">
      <c r="B1180" s="113"/>
      <c r="C1180" s="113"/>
      <c r="D1180" s="113"/>
      <c r="E1180" s="113"/>
      <c r="F1180" s="113"/>
      <c r="G1180" s="113"/>
      <c r="H1180" s="113"/>
      <c r="I1180" s="113"/>
      <c r="J1180" s="113"/>
      <c r="K1180" s="113"/>
      <c r="L1180" s="113"/>
      <c r="M1180" s="113"/>
      <c r="N1180" s="113"/>
    </row>
    <row r="1181" spans="2:14" ht="12.75">
      <c r="B1181" s="113"/>
      <c r="C1181" s="113"/>
      <c r="D1181" s="113"/>
      <c r="E1181" s="113"/>
      <c r="F1181" s="113"/>
      <c r="G1181" s="113"/>
      <c r="H1181" s="113"/>
      <c r="I1181" s="113"/>
      <c r="J1181" s="113"/>
      <c r="K1181" s="113"/>
      <c r="L1181" s="113"/>
      <c r="M1181" s="113"/>
      <c r="N1181" s="113"/>
    </row>
    <row r="1182" spans="2:14" ht="12.75">
      <c r="B1182" s="113"/>
      <c r="C1182" s="113"/>
      <c r="D1182" s="113"/>
      <c r="E1182" s="113"/>
      <c r="F1182" s="113"/>
      <c r="G1182" s="113"/>
      <c r="H1182" s="113"/>
      <c r="I1182" s="113"/>
      <c r="J1182" s="113"/>
      <c r="K1182" s="113"/>
      <c r="L1182" s="113"/>
      <c r="M1182" s="113"/>
      <c r="N1182" s="113"/>
    </row>
    <row r="1183" spans="2:14" ht="12.75">
      <c r="B1183" s="113"/>
      <c r="C1183" s="113"/>
      <c r="D1183" s="113"/>
      <c r="E1183" s="113"/>
      <c r="F1183" s="113"/>
      <c r="G1183" s="113"/>
      <c r="H1183" s="113"/>
      <c r="I1183" s="113"/>
      <c r="J1183" s="113"/>
      <c r="K1183" s="113"/>
      <c r="L1183" s="113"/>
      <c r="M1183" s="113"/>
      <c r="N1183" s="113"/>
    </row>
    <row r="1184" spans="2:14" ht="12.75">
      <c r="B1184" s="113"/>
      <c r="C1184" s="113"/>
      <c r="D1184" s="113"/>
      <c r="E1184" s="113"/>
      <c r="F1184" s="113"/>
      <c r="G1184" s="113"/>
      <c r="H1184" s="113"/>
      <c r="I1184" s="113"/>
      <c r="J1184" s="113"/>
      <c r="K1184" s="113"/>
      <c r="L1184" s="113"/>
      <c r="M1184" s="113"/>
      <c r="N1184" s="113"/>
    </row>
    <row r="1185" spans="2:14" ht="12.75">
      <c r="B1185" s="113"/>
      <c r="C1185" s="113"/>
      <c r="D1185" s="113"/>
      <c r="E1185" s="113"/>
      <c r="F1185" s="113"/>
      <c r="G1185" s="113"/>
      <c r="H1185" s="113"/>
      <c r="I1185" s="113"/>
      <c r="J1185" s="113"/>
      <c r="K1185" s="113"/>
      <c r="L1185" s="113"/>
      <c r="M1185" s="113"/>
      <c r="N1185" s="113"/>
    </row>
    <row r="1186" spans="2:14" ht="12.75">
      <c r="B1186" s="113"/>
      <c r="C1186" s="113"/>
      <c r="D1186" s="113"/>
      <c r="E1186" s="113"/>
      <c r="F1186" s="113"/>
      <c r="G1186" s="113"/>
      <c r="H1186" s="113"/>
      <c r="I1186" s="113"/>
      <c r="J1186" s="113"/>
      <c r="K1186" s="113"/>
      <c r="L1186" s="113"/>
      <c r="M1186" s="113"/>
      <c r="N1186" s="113"/>
    </row>
    <row r="1187" spans="2:14" ht="12.75">
      <c r="B1187" s="113"/>
      <c r="C1187" s="113"/>
      <c r="D1187" s="113"/>
      <c r="E1187" s="113"/>
      <c r="F1187" s="113"/>
      <c r="G1187" s="113"/>
      <c r="H1187" s="113"/>
      <c r="I1187" s="113"/>
      <c r="J1187" s="113"/>
      <c r="K1187" s="113"/>
      <c r="L1187" s="113"/>
      <c r="M1187" s="113"/>
      <c r="N1187" s="113"/>
    </row>
    <row r="1188" spans="2:14" ht="12.75">
      <c r="B1188" s="113"/>
      <c r="C1188" s="113"/>
      <c r="D1188" s="113"/>
      <c r="E1188" s="113"/>
      <c r="F1188" s="113"/>
      <c r="G1188" s="113"/>
      <c r="H1188" s="113"/>
      <c r="I1188" s="113"/>
      <c r="J1188" s="113"/>
      <c r="K1188" s="113"/>
      <c r="L1188" s="113"/>
      <c r="M1188" s="113"/>
      <c r="N1188" s="113"/>
    </row>
    <row r="1189" spans="2:14" ht="12.75">
      <c r="B1189" s="113"/>
      <c r="C1189" s="113"/>
      <c r="D1189" s="113"/>
      <c r="E1189" s="113"/>
      <c r="F1189" s="113"/>
      <c r="G1189" s="113"/>
      <c r="H1189" s="113"/>
      <c r="I1189" s="113"/>
      <c r="J1189" s="113"/>
      <c r="K1189" s="113"/>
      <c r="L1189" s="113"/>
      <c r="M1189" s="113"/>
      <c r="N1189" s="113"/>
    </row>
    <row r="1190" spans="2:14" ht="12.75">
      <c r="B1190" s="113"/>
      <c r="C1190" s="113"/>
      <c r="D1190" s="113"/>
      <c r="E1190" s="113"/>
      <c r="F1190" s="113"/>
      <c r="G1190" s="113"/>
      <c r="H1190" s="113"/>
      <c r="I1190" s="113"/>
      <c r="J1190" s="113"/>
      <c r="K1190" s="113"/>
      <c r="L1190" s="113"/>
      <c r="M1190" s="113"/>
      <c r="N1190" s="113"/>
    </row>
    <row r="1191" spans="2:14" ht="12.75">
      <c r="B1191" s="113"/>
      <c r="C1191" s="113"/>
      <c r="D1191" s="113"/>
      <c r="E1191" s="113"/>
      <c r="F1191" s="113"/>
      <c r="G1191" s="113"/>
      <c r="H1191" s="113"/>
      <c r="I1191" s="113"/>
      <c r="J1191" s="113"/>
      <c r="K1191" s="113"/>
      <c r="L1191" s="113"/>
      <c r="M1191" s="113"/>
      <c r="N1191" s="113"/>
    </row>
    <row r="1192" spans="2:14" ht="12.75">
      <c r="B1192" s="113"/>
      <c r="C1192" s="113"/>
      <c r="D1192" s="113"/>
      <c r="E1192" s="113"/>
      <c r="F1192" s="113"/>
      <c r="G1192" s="113"/>
      <c r="H1192" s="113"/>
      <c r="I1192" s="113"/>
      <c r="J1192" s="113"/>
      <c r="K1192" s="113"/>
      <c r="L1192" s="113"/>
      <c r="M1192" s="113"/>
      <c r="N1192" s="113"/>
    </row>
    <row r="1193" spans="2:14" ht="12.75">
      <c r="B1193" s="113"/>
      <c r="C1193" s="113"/>
      <c r="D1193" s="113"/>
      <c r="E1193" s="113"/>
      <c r="F1193" s="113"/>
      <c r="G1193" s="113"/>
      <c r="H1193" s="113"/>
      <c r="I1193" s="113"/>
      <c r="J1193" s="113"/>
      <c r="K1193" s="113"/>
      <c r="L1193" s="113"/>
      <c r="M1193" s="113"/>
      <c r="N1193" s="113"/>
    </row>
    <row r="1194" spans="2:14" ht="12.75">
      <c r="B1194" s="113"/>
      <c r="C1194" s="113"/>
      <c r="D1194" s="113"/>
      <c r="E1194" s="113"/>
      <c r="F1194" s="113"/>
      <c r="G1194" s="113"/>
      <c r="H1194" s="113"/>
      <c r="I1194" s="113"/>
      <c r="J1194" s="113"/>
      <c r="K1194" s="113"/>
      <c r="L1194" s="113"/>
      <c r="M1194" s="113"/>
      <c r="N1194" s="113"/>
    </row>
    <row r="1195" spans="2:14" ht="12.75">
      <c r="B1195" s="113"/>
      <c r="C1195" s="113"/>
      <c r="D1195" s="113"/>
      <c r="E1195" s="113"/>
      <c r="F1195" s="113"/>
      <c r="G1195" s="113"/>
      <c r="H1195" s="113"/>
      <c r="I1195" s="113"/>
      <c r="J1195" s="113"/>
      <c r="K1195" s="113"/>
      <c r="L1195" s="113"/>
      <c r="M1195" s="113"/>
      <c r="N1195" s="113"/>
    </row>
    <row r="1196" spans="2:14" ht="12.75">
      <c r="B1196" s="113"/>
      <c r="C1196" s="113"/>
      <c r="D1196" s="113"/>
      <c r="E1196" s="113"/>
      <c r="F1196" s="113"/>
      <c r="G1196" s="113"/>
      <c r="H1196" s="113"/>
      <c r="I1196" s="113"/>
      <c r="J1196" s="113"/>
      <c r="K1196" s="113"/>
      <c r="L1196" s="113"/>
      <c r="M1196" s="113"/>
      <c r="N1196" s="113"/>
    </row>
    <row r="1197" spans="2:14" ht="12.75">
      <c r="B1197" s="113"/>
      <c r="C1197" s="113"/>
      <c r="D1197" s="113"/>
      <c r="E1197" s="113"/>
      <c r="F1197" s="113"/>
      <c r="G1197" s="113"/>
      <c r="H1197" s="113"/>
      <c r="I1197" s="113"/>
      <c r="J1197" s="113"/>
      <c r="K1197" s="113"/>
      <c r="L1197" s="113"/>
      <c r="M1197" s="113"/>
      <c r="N1197" s="113"/>
    </row>
    <row r="1198" spans="2:14" ht="12.75">
      <c r="B1198" s="113"/>
      <c r="C1198" s="113"/>
      <c r="D1198" s="113"/>
      <c r="E1198" s="113"/>
      <c r="F1198" s="113"/>
      <c r="G1198" s="113"/>
      <c r="H1198" s="113"/>
      <c r="I1198" s="113"/>
      <c r="J1198" s="113"/>
      <c r="K1198" s="113"/>
      <c r="L1198" s="113"/>
      <c r="M1198" s="113"/>
      <c r="N1198" s="113"/>
    </row>
    <row r="1199" spans="2:14" ht="12.75">
      <c r="B1199" s="113"/>
      <c r="C1199" s="113"/>
      <c r="D1199" s="113"/>
      <c r="E1199" s="113"/>
      <c r="F1199" s="113"/>
      <c r="G1199" s="113"/>
      <c r="H1199" s="113"/>
      <c r="I1199" s="113"/>
      <c r="J1199" s="113"/>
      <c r="K1199" s="113"/>
      <c r="L1199" s="113"/>
      <c r="M1199" s="113"/>
      <c r="N1199" s="113"/>
    </row>
    <row r="1200" spans="2:14" ht="12.75">
      <c r="B1200" s="113"/>
      <c r="C1200" s="113"/>
      <c r="D1200" s="113"/>
      <c r="E1200" s="113"/>
      <c r="F1200" s="113"/>
      <c r="G1200" s="113"/>
      <c r="H1200" s="113"/>
      <c r="I1200" s="113"/>
      <c r="J1200" s="113"/>
      <c r="K1200" s="113"/>
      <c r="L1200" s="113"/>
      <c r="M1200" s="113"/>
      <c r="N1200" s="113"/>
    </row>
    <row r="1201" spans="2:14" ht="12.75">
      <c r="B1201" s="113"/>
      <c r="C1201" s="113"/>
      <c r="D1201" s="113"/>
      <c r="E1201" s="113"/>
      <c r="F1201" s="113"/>
      <c r="G1201" s="113"/>
      <c r="H1201" s="113"/>
      <c r="I1201" s="113"/>
      <c r="J1201" s="113"/>
      <c r="K1201" s="113"/>
      <c r="L1201" s="113"/>
      <c r="M1201" s="113"/>
      <c r="N1201" s="113"/>
    </row>
    <row r="1202" spans="2:14" ht="12.75">
      <c r="B1202" s="113"/>
      <c r="C1202" s="113"/>
      <c r="D1202" s="113"/>
      <c r="E1202" s="113"/>
      <c r="F1202" s="113"/>
      <c r="G1202" s="113"/>
      <c r="H1202" s="113"/>
      <c r="I1202" s="113"/>
      <c r="J1202" s="113"/>
      <c r="K1202" s="113"/>
      <c r="L1202" s="113"/>
      <c r="M1202" s="113"/>
      <c r="N1202" s="113"/>
    </row>
    <row r="1203" spans="2:14" ht="12.75">
      <c r="B1203" s="113"/>
      <c r="C1203" s="113"/>
      <c r="D1203" s="113"/>
      <c r="E1203" s="113"/>
      <c r="F1203" s="113"/>
      <c r="G1203" s="113"/>
      <c r="H1203" s="113"/>
      <c r="I1203" s="113"/>
      <c r="J1203" s="113"/>
      <c r="K1203" s="113"/>
      <c r="L1203" s="113"/>
      <c r="M1203" s="113"/>
      <c r="N1203" s="113"/>
    </row>
    <row r="1204" spans="2:14" ht="12.75">
      <c r="B1204" s="113"/>
      <c r="C1204" s="113"/>
      <c r="D1204" s="113"/>
      <c r="E1204" s="113"/>
      <c r="F1204" s="113"/>
      <c r="G1204" s="113"/>
      <c r="H1204" s="113"/>
      <c r="I1204" s="113"/>
      <c r="J1204" s="113"/>
      <c r="K1204" s="113"/>
      <c r="L1204" s="113"/>
      <c r="M1204" s="113"/>
      <c r="N1204" s="113"/>
    </row>
    <row r="1205" spans="2:14" ht="12.75">
      <c r="B1205" s="113"/>
      <c r="C1205" s="113"/>
      <c r="D1205" s="113"/>
      <c r="E1205" s="113"/>
      <c r="F1205" s="113"/>
      <c r="G1205" s="113"/>
      <c r="H1205" s="113"/>
      <c r="I1205" s="113"/>
      <c r="J1205" s="113"/>
      <c r="K1205" s="113"/>
      <c r="L1205" s="113"/>
      <c r="M1205" s="113"/>
      <c r="N1205" s="113"/>
    </row>
    <row r="1206" spans="2:14" ht="12.75">
      <c r="B1206" s="113"/>
      <c r="C1206" s="113"/>
      <c r="D1206" s="113"/>
      <c r="E1206" s="113"/>
      <c r="F1206" s="113"/>
      <c r="G1206" s="113"/>
      <c r="H1206" s="113"/>
      <c r="I1206" s="113"/>
      <c r="J1206" s="113"/>
      <c r="K1206" s="113"/>
      <c r="L1206" s="113"/>
      <c r="M1206" s="113"/>
      <c r="N1206" s="113"/>
    </row>
    <row r="1207" spans="2:14" ht="12.75">
      <c r="B1207" s="113"/>
      <c r="C1207" s="113"/>
      <c r="D1207" s="113"/>
      <c r="E1207" s="113"/>
      <c r="F1207" s="113"/>
      <c r="G1207" s="113"/>
      <c r="H1207" s="113"/>
      <c r="I1207" s="113"/>
      <c r="J1207" s="113"/>
      <c r="K1207" s="113"/>
      <c r="L1207" s="113"/>
      <c r="M1207" s="113"/>
      <c r="N1207" s="113"/>
    </row>
    <row r="1208" spans="2:14" ht="12.75">
      <c r="B1208" s="113"/>
      <c r="C1208" s="113"/>
      <c r="D1208" s="113"/>
      <c r="E1208" s="113"/>
      <c r="F1208" s="113"/>
      <c r="G1208" s="113"/>
      <c r="H1208" s="113"/>
      <c r="I1208" s="113"/>
      <c r="J1208" s="113"/>
      <c r="K1208" s="113"/>
      <c r="L1208" s="113"/>
      <c r="M1208" s="113"/>
      <c r="N1208" s="113"/>
    </row>
    <row r="1209" spans="2:14" ht="12.75">
      <c r="B1209" s="113"/>
      <c r="C1209" s="113"/>
      <c r="D1209" s="113"/>
      <c r="E1209" s="113"/>
      <c r="F1209" s="113"/>
      <c r="G1209" s="113"/>
      <c r="H1209" s="113"/>
      <c r="I1209" s="113"/>
      <c r="J1209" s="113"/>
      <c r="K1209" s="113"/>
      <c r="L1209" s="113"/>
      <c r="M1209" s="113"/>
      <c r="N1209" s="113"/>
    </row>
    <row r="1210" spans="2:14" ht="12.75">
      <c r="B1210" s="113"/>
      <c r="C1210" s="113"/>
      <c r="D1210" s="113"/>
      <c r="E1210" s="113"/>
      <c r="F1210" s="113"/>
      <c r="G1210" s="113"/>
      <c r="H1210" s="113"/>
      <c r="I1210" s="113"/>
      <c r="J1210" s="113"/>
      <c r="K1210" s="113"/>
      <c r="L1210" s="113"/>
      <c r="M1210" s="113"/>
      <c r="N1210" s="113"/>
    </row>
    <row r="1211" spans="2:14" ht="12.75">
      <c r="B1211" s="113"/>
      <c r="C1211" s="113"/>
      <c r="D1211" s="113"/>
      <c r="E1211" s="113"/>
      <c r="F1211" s="113"/>
      <c r="G1211" s="113"/>
      <c r="H1211" s="113"/>
      <c r="I1211" s="113"/>
      <c r="J1211" s="113"/>
      <c r="K1211" s="113"/>
      <c r="L1211" s="113"/>
      <c r="M1211" s="113"/>
      <c r="N1211" s="113"/>
    </row>
    <row r="1212" spans="2:14" ht="12.75">
      <c r="B1212" s="113"/>
      <c r="C1212" s="113"/>
      <c r="D1212" s="113"/>
      <c r="E1212" s="113"/>
      <c r="F1212" s="113"/>
      <c r="G1212" s="113"/>
      <c r="H1212" s="113"/>
      <c r="I1212" s="113"/>
      <c r="J1212" s="113"/>
      <c r="K1212" s="113"/>
      <c r="L1212" s="113"/>
      <c r="M1212" s="113"/>
      <c r="N1212" s="113"/>
    </row>
    <row r="1213" spans="2:14" ht="12.75">
      <c r="B1213" s="113"/>
      <c r="C1213" s="113"/>
      <c r="D1213" s="113"/>
      <c r="E1213" s="113"/>
      <c r="F1213" s="113"/>
      <c r="G1213" s="113"/>
      <c r="H1213" s="113"/>
      <c r="I1213" s="113"/>
      <c r="J1213" s="113"/>
      <c r="K1213" s="113"/>
      <c r="L1213" s="113"/>
      <c r="M1213" s="113"/>
      <c r="N1213" s="113"/>
    </row>
    <row r="1214" spans="2:14" ht="12.75">
      <c r="B1214" s="113"/>
      <c r="C1214" s="113"/>
      <c r="D1214" s="113"/>
      <c r="E1214" s="113"/>
      <c r="F1214" s="113"/>
      <c r="G1214" s="113"/>
      <c r="H1214" s="113"/>
      <c r="I1214" s="113"/>
      <c r="J1214" s="113"/>
      <c r="K1214" s="113"/>
      <c r="L1214" s="113"/>
      <c r="M1214" s="113"/>
      <c r="N1214" s="113"/>
    </row>
  </sheetData>
  <sheetProtection/>
  <mergeCells count="7">
    <mergeCell ref="I5:M5"/>
    <mergeCell ref="B3:R3"/>
    <mergeCell ref="N5:R5"/>
    <mergeCell ref="B5:B7"/>
    <mergeCell ref="B4:C4"/>
    <mergeCell ref="C5:C7"/>
    <mergeCell ref="D5:H5"/>
  </mergeCells>
  <conditionalFormatting sqref="E98:E120 L74:M74 N71:O71 F69:H69 P91:R92 J72:M72 J73:K76 P70:P78 K91:M92 G91 F90:F91 J69:R69 C81:H81 F92:J92 L83:M84 E89:R89 K82:K84 J83:J84 K86:K88 O82:R82 O79:R79 J85:R85 O87:R88 I71:L71 H70 J70:K70 N92:O92 C82:D120 F93:F120 E90:E96 J77:M79 F70:G80 K80 H80 E82:H88 J81:M81 H72:I79 K64 L66:M66 N63:R63 E63:G63 J61:M63 L59:M59 Q61:R62 P65:P66 P68 I64:I70 F64:F68 G65:G68 H67:H68 J65:K68 O62 G61:H61 E61:F62 O67:R67 J59 I60 C60:G60 C61:D80 E64:E80 O54:R56 K58:M58 C38:H38 J57:M57 J47:M55 F46:M46 P45 N45 C28:G28 F47:H55 I29:M29 I42:M42 J43:M45 J27:M28 J8:M12 O32:R33 O42:R42 O36:R36 O39:R39 D57:H57 D56:M56 O24:R25 L23:M25 K17:M17 J20:M20 J23:J25 K18:K19 K21:K25 E20:H25 E17:H17 E18:F19 J14:J16 L14:M16 O19:R22 O17:R17 E26:M26 D39:E55 D58:G59 Q58:R59 J30:M41 D17:D27 H27:H35 E27:G27 E29:G35 O46:R48 G13:H16 E12:H12 E13:E16 Q11:R11 O11 O8:R8 C13:C27 B3 C9:C11 C29:D37 E36:H37 F39:H45 C39:C59 O50:R52 K60:P60">
    <cfRule type="cellIs" priority="1" dxfId="0" operator="equal" stopIfTrue="1">
      <formula>0</formula>
    </cfRule>
  </conditionalFormatting>
  <printOptions horizontalCentered="1" verticalCentered="1"/>
  <pageMargins left="0.1968503937007874" right="0" top="0.5118110236220472" bottom="0.1968503937007874" header="0.1968503937007874" footer="0.07874015748031496"/>
  <pageSetup fitToHeight="7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7"/>
  <sheetViews>
    <sheetView showZeros="0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3.75390625" style="77" customWidth="1"/>
    <col min="2" max="2" width="52.00390625" style="77" customWidth="1"/>
    <col min="3" max="3" width="7.125" style="395" customWidth="1"/>
    <col min="4" max="4" width="5.25390625" style="395" hidden="1" customWidth="1"/>
    <col min="5" max="5" width="7.125" style="395" customWidth="1"/>
    <col min="6" max="6" width="13.625" style="395" customWidth="1"/>
    <col min="7" max="7" width="16.00390625" style="395" customWidth="1"/>
    <col min="8" max="8" width="6.00390625" style="77" hidden="1" customWidth="1"/>
    <col min="9" max="9" width="11.25390625" style="77" hidden="1" customWidth="1"/>
    <col min="10" max="10" width="11.125" style="77" hidden="1" customWidth="1"/>
    <col min="11" max="11" width="6.375" style="77" hidden="1" customWidth="1"/>
    <col min="12" max="12" width="10.875" style="77" hidden="1" customWidth="1"/>
    <col min="13" max="13" width="12.00390625" style="77" hidden="1" customWidth="1"/>
    <col min="14" max="16384" width="9.125" style="77" customWidth="1"/>
  </cols>
  <sheetData>
    <row r="1" spans="2:10" ht="17.25" customHeight="1">
      <c r="B1" s="80"/>
      <c r="C1" s="371"/>
      <c r="D1" s="373"/>
      <c r="E1" s="373"/>
      <c r="F1" s="373"/>
      <c r="G1" s="375"/>
      <c r="H1" s="81"/>
      <c r="I1" s="81"/>
      <c r="J1" s="81"/>
    </row>
    <row r="2" spans="2:13" ht="37.5" customHeight="1">
      <c r="B2" s="976" t="s">
        <v>411</v>
      </c>
      <c r="C2" s="976"/>
      <c r="D2" s="976"/>
      <c r="E2" s="976"/>
      <c r="F2" s="976"/>
      <c r="G2" s="976"/>
      <c r="H2" s="1008"/>
      <c r="I2" s="1008"/>
      <c r="J2" s="1008"/>
      <c r="K2" s="1008"/>
      <c r="L2" s="1008"/>
      <c r="M2" s="1008"/>
    </row>
    <row r="3" spans="2:10" ht="6.75" customHeight="1" thickBot="1">
      <c r="B3" s="165"/>
      <c r="C3" s="376"/>
      <c r="D3" s="377"/>
      <c r="E3" s="377"/>
      <c r="F3" s="377"/>
      <c r="G3" s="377"/>
      <c r="H3" s="166"/>
      <c r="I3" s="166"/>
      <c r="J3" s="166"/>
    </row>
    <row r="4" spans="2:13" ht="24.75" customHeight="1">
      <c r="B4" s="977" t="s">
        <v>108</v>
      </c>
      <c r="C4" s="980" t="s">
        <v>109</v>
      </c>
      <c r="D4" s="973" t="s">
        <v>192</v>
      </c>
      <c r="E4" s="974"/>
      <c r="F4" s="974"/>
      <c r="G4" s="975"/>
      <c r="H4" s="982" t="s">
        <v>146</v>
      </c>
      <c r="I4" s="982"/>
      <c r="J4" s="983"/>
      <c r="K4" s="984" t="s">
        <v>194</v>
      </c>
      <c r="L4" s="982"/>
      <c r="M4" s="983"/>
    </row>
    <row r="5" spans="2:13" ht="58.5" customHeight="1">
      <c r="B5" s="978"/>
      <c r="C5" s="981"/>
      <c r="D5" s="379" t="s">
        <v>110</v>
      </c>
      <c r="E5" s="380" t="s">
        <v>111</v>
      </c>
      <c r="F5" s="381" t="s">
        <v>112</v>
      </c>
      <c r="G5" s="381" t="s">
        <v>113</v>
      </c>
      <c r="H5" s="437" t="s">
        <v>111</v>
      </c>
      <c r="I5" s="83" t="s">
        <v>112</v>
      </c>
      <c r="J5" s="83" t="s">
        <v>113</v>
      </c>
      <c r="K5" s="289" t="s">
        <v>111</v>
      </c>
      <c r="L5" s="83" t="s">
        <v>112</v>
      </c>
      <c r="M5" s="83" t="s">
        <v>113</v>
      </c>
    </row>
    <row r="6" spans="2:13" ht="15.75" customHeight="1">
      <c r="B6" s="979"/>
      <c r="C6" s="981"/>
      <c r="D6" s="378" t="s">
        <v>107</v>
      </c>
      <c r="E6" s="380" t="s">
        <v>106</v>
      </c>
      <c r="F6" s="382" t="s">
        <v>114</v>
      </c>
      <c r="G6" s="382" t="s">
        <v>114</v>
      </c>
      <c r="H6" s="438" t="s">
        <v>195</v>
      </c>
      <c r="I6" s="168" t="s">
        <v>114</v>
      </c>
      <c r="J6" s="168" t="s">
        <v>114</v>
      </c>
      <c r="K6" s="167" t="s">
        <v>195</v>
      </c>
      <c r="L6" s="168" t="s">
        <v>114</v>
      </c>
      <c r="M6" s="168" t="s">
        <v>114</v>
      </c>
    </row>
    <row r="7" spans="2:13" ht="14.25">
      <c r="B7" s="466" t="s">
        <v>196</v>
      </c>
      <c r="C7" s="384"/>
      <c r="D7" s="385"/>
      <c r="E7" s="385">
        <v>2.31</v>
      </c>
      <c r="F7" s="385">
        <v>0</v>
      </c>
      <c r="G7" s="385">
        <v>21673.3</v>
      </c>
      <c r="H7" s="194">
        <f aca="true" t="shared" si="0" ref="H7:M7">SUM(H8:H9)</f>
        <v>2.9</v>
      </c>
      <c r="I7" s="88">
        <f t="shared" si="0"/>
        <v>0</v>
      </c>
      <c r="J7" s="88">
        <f t="shared" si="0"/>
        <v>23860</v>
      </c>
      <c r="K7" s="88">
        <f t="shared" si="0"/>
        <v>3.8</v>
      </c>
      <c r="L7" s="88">
        <f t="shared" si="0"/>
        <v>0</v>
      </c>
      <c r="M7" s="88">
        <f t="shared" si="0"/>
        <v>29823.6</v>
      </c>
    </row>
    <row r="8" spans="1:13" ht="12.75">
      <c r="A8" s="77" t="s">
        <v>124</v>
      </c>
      <c r="B8" s="467" t="s">
        <v>197</v>
      </c>
      <c r="C8" s="623" t="s">
        <v>115</v>
      </c>
      <c r="D8" s="172"/>
      <c r="E8" s="788">
        <v>2.31</v>
      </c>
      <c r="F8" s="172">
        <v>0</v>
      </c>
      <c r="G8" s="172">
        <v>21673.3</v>
      </c>
      <c r="H8" s="193">
        <v>1.5</v>
      </c>
      <c r="I8" s="172"/>
      <c r="J8" s="172">
        <v>14000</v>
      </c>
      <c r="K8" s="172">
        <v>1.8</v>
      </c>
      <c r="L8" s="172"/>
      <c r="M8" s="172">
        <f>20873.3-5000</f>
        <v>15873.3</v>
      </c>
    </row>
    <row r="9" spans="1:13" ht="21.75" customHeight="1" hidden="1">
      <c r="A9" s="77" t="s">
        <v>124</v>
      </c>
      <c r="B9" s="468" t="s">
        <v>302</v>
      </c>
      <c r="C9" s="624" t="s">
        <v>115</v>
      </c>
      <c r="D9" s="625"/>
      <c r="E9" s="176"/>
      <c r="F9" s="176"/>
      <c r="G9" s="176"/>
      <c r="H9" s="439">
        <v>1.4</v>
      </c>
      <c r="I9" s="226"/>
      <c r="J9" s="226">
        <v>9860</v>
      </c>
      <c r="K9" s="176">
        <v>2</v>
      </c>
      <c r="L9" s="176"/>
      <c r="M9" s="176">
        <f>8950.3+5000</f>
        <v>13950.3</v>
      </c>
    </row>
    <row r="10" spans="2:13" ht="14.25">
      <c r="B10" s="466" t="s">
        <v>198</v>
      </c>
      <c r="C10" s="622"/>
      <c r="D10" s="175"/>
      <c r="E10" s="175">
        <v>3.7</v>
      </c>
      <c r="F10" s="175">
        <v>30000</v>
      </c>
      <c r="G10" s="175">
        <v>19614.64</v>
      </c>
      <c r="H10" s="440">
        <f aca="true" t="shared" si="1" ref="H10:M10">SUM(H11:H14)</f>
        <v>1.8</v>
      </c>
      <c r="I10" s="175">
        <f t="shared" si="1"/>
        <v>0</v>
      </c>
      <c r="J10" s="175">
        <f t="shared" si="1"/>
        <v>29375.8</v>
      </c>
      <c r="K10" s="175">
        <f t="shared" si="1"/>
        <v>3.7</v>
      </c>
      <c r="L10" s="175">
        <f t="shared" si="1"/>
        <v>36000</v>
      </c>
      <c r="M10" s="175">
        <f t="shared" si="1"/>
        <v>26970.800000000003</v>
      </c>
    </row>
    <row r="11" spans="1:13" ht="20.25" customHeight="1" hidden="1">
      <c r="A11" s="77" t="s">
        <v>124</v>
      </c>
      <c r="B11" s="469" t="s">
        <v>199</v>
      </c>
      <c r="C11" s="626"/>
      <c r="D11" s="170"/>
      <c r="E11" s="170"/>
      <c r="F11" s="170"/>
      <c r="G11" s="170"/>
      <c r="H11" s="441"/>
      <c r="I11" s="170"/>
      <c r="J11" s="170"/>
      <c r="K11" s="170"/>
      <c r="L11" s="170"/>
      <c r="M11" s="170">
        <v>5820.22</v>
      </c>
    </row>
    <row r="12" spans="1:13" ht="12.75">
      <c r="A12" s="77" t="s">
        <v>124</v>
      </c>
      <c r="B12" s="467" t="s">
        <v>200</v>
      </c>
      <c r="C12" s="623" t="s">
        <v>121</v>
      </c>
      <c r="D12" s="172"/>
      <c r="E12" s="172">
        <v>1.2</v>
      </c>
      <c r="F12" s="172">
        <v>0</v>
      </c>
      <c r="G12" s="172">
        <v>12361.3</v>
      </c>
      <c r="H12" s="193">
        <v>1.8</v>
      </c>
      <c r="I12" s="172"/>
      <c r="J12" s="172">
        <v>29375.8</v>
      </c>
      <c r="K12" s="172">
        <v>1.2</v>
      </c>
      <c r="L12" s="172"/>
      <c r="M12" s="172">
        <v>21150.58</v>
      </c>
    </row>
    <row r="13" spans="2:13" ht="24">
      <c r="B13" s="467" t="s">
        <v>463</v>
      </c>
      <c r="C13" s="624"/>
      <c r="D13" s="625"/>
      <c r="E13" s="176">
        <v>0</v>
      </c>
      <c r="F13" s="176"/>
      <c r="G13" s="176">
        <v>7253.34</v>
      </c>
      <c r="H13" s="509"/>
      <c r="I13" s="176"/>
      <c r="J13" s="176"/>
      <c r="K13" s="176"/>
      <c r="L13" s="176"/>
      <c r="M13" s="176"/>
    </row>
    <row r="14" spans="1:13" ht="12.75">
      <c r="A14" s="77" t="s">
        <v>124</v>
      </c>
      <c r="B14" s="470" t="s">
        <v>201</v>
      </c>
      <c r="C14" s="627" t="s">
        <v>121</v>
      </c>
      <c r="D14" s="628"/>
      <c r="E14" s="174">
        <v>2.5</v>
      </c>
      <c r="F14" s="174">
        <v>30000</v>
      </c>
      <c r="G14" s="174">
        <v>0</v>
      </c>
      <c r="H14" s="442"/>
      <c r="I14" s="174"/>
      <c r="J14" s="174"/>
      <c r="K14" s="174">
        <v>2.5</v>
      </c>
      <c r="L14" s="174">
        <v>36000</v>
      </c>
      <c r="M14" s="174"/>
    </row>
    <row r="15" spans="2:13" ht="15" customHeight="1">
      <c r="B15" s="466" t="s">
        <v>202</v>
      </c>
      <c r="C15" s="622"/>
      <c r="D15" s="175"/>
      <c r="E15" s="175">
        <v>1.91</v>
      </c>
      <c r="F15" s="175">
        <v>0</v>
      </c>
      <c r="G15" s="88">
        <v>14345.3</v>
      </c>
      <c r="H15" s="194">
        <f aca="true" t="shared" si="2" ref="H15:M15">SUM(H16:H18)</f>
        <v>0</v>
      </c>
      <c r="I15" s="88">
        <f t="shared" si="2"/>
        <v>0</v>
      </c>
      <c r="J15" s="88">
        <f t="shared" si="2"/>
        <v>0</v>
      </c>
      <c r="K15" s="88">
        <f t="shared" si="2"/>
        <v>0.8</v>
      </c>
      <c r="L15" s="88">
        <f t="shared" si="2"/>
        <v>0</v>
      </c>
      <c r="M15" s="88">
        <f t="shared" si="2"/>
        <v>23000</v>
      </c>
    </row>
    <row r="16" spans="1:13" ht="24" hidden="1">
      <c r="A16" s="77" t="s">
        <v>117</v>
      </c>
      <c r="B16" s="469" t="s">
        <v>12</v>
      </c>
      <c r="C16" s="626"/>
      <c r="D16" s="97"/>
      <c r="E16" s="134"/>
      <c r="F16" s="134"/>
      <c r="G16" s="134"/>
      <c r="H16" s="195"/>
      <c r="I16" s="134"/>
      <c r="J16" s="134"/>
      <c r="K16" s="134" t="s">
        <v>13</v>
      </c>
      <c r="L16" s="134"/>
      <c r="M16" s="134">
        <v>10000</v>
      </c>
    </row>
    <row r="17" spans="1:13" ht="12.75" hidden="1">
      <c r="A17" s="77" t="s">
        <v>124</v>
      </c>
      <c r="B17" s="467" t="s">
        <v>203</v>
      </c>
      <c r="C17" s="624"/>
      <c r="D17" s="629"/>
      <c r="E17" s="178"/>
      <c r="F17" s="178"/>
      <c r="G17" s="178"/>
      <c r="H17" s="196"/>
      <c r="I17" s="178"/>
      <c r="J17" s="178"/>
      <c r="K17" s="178"/>
      <c r="L17" s="178"/>
      <c r="M17" s="178">
        <v>5000</v>
      </c>
    </row>
    <row r="18" spans="1:13" ht="12.75">
      <c r="A18" s="77" t="s">
        <v>124</v>
      </c>
      <c r="B18" s="470" t="s">
        <v>204</v>
      </c>
      <c r="C18" s="627" t="s">
        <v>115</v>
      </c>
      <c r="D18" s="98"/>
      <c r="E18" s="98">
        <v>1.91</v>
      </c>
      <c r="F18" s="98">
        <v>0</v>
      </c>
      <c r="G18" s="98">
        <v>14345.3</v>
      </c>
      <c r="H18" s="443"/>
      <c r="I18" s="98"/>
      <c r="J18" s="98"/>
      <c r="K18" s="278">
        <v>0.8</v>
      </c>
      <c r="L18" s="113"/>
      <c r="M18" s="278">
        <v>8000</v>
      </c>
    </row>
    <row r="19" spans="2:13" ht="14.25">
      <c r="B19" s="466" t="s">
        <v>116</v>
      </c>
      <c r="C19" s="622">
        <v>0</v>
      </c>
      <c r="D19" s="88"/>
      <c r="E19" s="88">
        <v>1</v>
      </c>
      <c r="F19" s="88">
        <v>0</v>
      </c>
      <c r="G19" s="88">
        <v>14661.7</v>
      </c>
      <c r="H19" s="194">
        <f aca="true" t="shared" si="3" ref="H19:M19">SUM(H20:H22)</f>
        <v>3.3</v>
      </c>
      <c r="I19" s="88">
        <f t="shared" si="3"/>
        <v>0</v>
      </c>
      <c r="J19" s="88">
        <f t="shared" si="3"/>
        <v>23029.1</v>
      </c>
      <c r="K19" s="88">
        <f t="shared" si="3"/>
        <v>2</v>
      </c>
      <c r="L19" s="88">
        <f t="shared" si="3"/>
        <v>0</v>
      </c>
      <c r="M19" s="88">
        <f t="shared" si="3"/>
        <v>48643.7</v>
      </c>
    </row>
    <row r="20" spans="1:13" ht="24" hidden="1">
      <c r="A20" s="77" t="s">
        <v>117</v>
      </c>
      <c r="B20" s="471" t="s">
        <v>37</v>
      </c>
      <c r="C20" s="630"/>
      <c r="D20" s="97"/>
      <c r="E20" s="179"/>
      <c r="F20" s="179"/>
      <c r="G20" s="179"/>
      <c r="H20" s="444"/>
      <c r="I20" s="179"/>
      <c r="J20" s="179"/>
      <c r="K20" s="179" t="s">
        <v>14</v>
      </c>
      <c r="L20" s="179"/>
      <c r="M20" s="179">
        <v>12500</v>
      </c>
    </row>
    <row r="21" spans="1:13" ht="24" hidden="1">
      <c r="A21" s="77" t="s">
        <v>117</v>
      </c>
      <c r="B21" s="467" t="s">
        <v>205</v>
      </c>
      <c r="C21" s="630"/>
      <c r="D21" s="97"/>
      <c r="E21" s="97"/>
      <c r="F21" s="97"/>
      <c r="G21" s="97"/>
      <c r="H21" s="445"/>
      <c r="I21" s="97"/>
      <c r="J21" s="97"/>
      <c r="K21" s="97" t="s">
        <v>15</v>
      </c>
      <c r="L21" s="97"/>
      <c r="M21" s="97">
        <v>15000</v>
      </c>
    </row>
    <row r="22" spans="1:13" ht="27" customHeight="1">
      <c r="A22" s="77" t="s">
        <v>124</v>
      </c>
      <c r="B22" s="467" t="s">
        <v>206</v>
      </c>
      <c r="C22" s="516" t="s">
        <v>115</v>
      </c>
      <c r="D22" s="98"/>
      <c r="E22" s="98">
        <v>1</v>
      </c>
      <c r="F22" s="98">
        <v>0</v>
      </c>
      <c r="G22" s="98">
        <v>14661.7</v>
      </c>
      <c r="H22" s="443">
        <v>3.3</v>
      </c>
      <c r="I22" s="98"/>
      <c r="J22" s="98">
        <v>23029.1</v>
      </c>
      <c r="K22" s="98">
        <v>2</v>
      </c>
      <c r="L22" s="98"/>
      <c r="M22" s="98">
        <v>21143.7</v>
      </c>
    </row>
    <row r="23" spans="2:13" ht="15.75" customHeight="1">
      <c r="B23" s="472" t="s">
        <v>207</v>
      </c>
      <c r="C23" s="632"/>
      <c r="D23" s="305"/>
      <c r="E23" s="305">
        <v>4.4</v>
      </c>
      <c r="F23" s="305">
        <v>31137.6</v>
      </c>
      <c r="G23" s="305">
        <v>23398</v>
      </c>
      <c r="H23" s="446">
        <f aca="true" t="shared" si="4" ref="H23:M23">SUM(H24:H28)</f>
        <v>2.7</v>
      </c>
      <c r="I23" s="305">
        <f t="shared" si="4"/>
        <v>26000</v>
      </c>
      <c r="J23" s="135">
        <f t="shared" si="4"/>
        <v>31957.5</v>
      </c>
      <c r="K23" s="305">
        <f t="shared" si="4"/>
        <v>5</v>
      </c>
      <c r="L23" s="305">
        <f t="shared" si="4"/>
        <v>61000</v>
      </c>
      <c r="M23" s="305">
        <f t="shared" si="4"/>
        <v>29341</v>
      </c>
    </row>
    <row r="24" spans="1:13" ht="12.75">
      <c r="A24" s="77" t="s">
        <v>124</v>
      </c>
      <c r="B24" s="473" t="s">
        <v>208</v>
      </c>
      <c r="C24" s="633" t="s">
        <v>115</v>
      </c>
      <c r="D24" s="95"/>
      <c r="E24" s="95">
        <v>1.9</v>
      </c>
      <c r="F24" s="95">
        <v>23137.6</v>
      </c>
      <c r="G24" s="95">
        <v>0</v>
      </c>
      <c r="H24" s="448">
        <v>2</v>
      </c>
      <c r="I24" s="95"/>
      <c r="J24" s="95">
        <v>24741.9</v>
      </c>
      <c r="K24" s="279">
        <v>3</v>
      </c>
      <c r="L24" s="279">
        <f>76793.7-40000-6793.7</f>
        <v>29999.999999999996</v>
      </c>
      <c r="M24" s="288"/>
    </row>
    <row r="25" spans="1:13" ht="12.75">
      <c r="A25" s="77" t="s">
        <v>124</v>
      </c>
      <c r="B25" s="474" t="s">
        <v>209</v>
      </c>
      <c r="C25" s="634" t="s">
        <v>115</v>
      </c>
      <c r="D25" s="97"/>
      <c r="E25" s="97">
        <v>2.5</v>
      </c>
      <c r="F25" s="97">
        <v>0</v>
      </c>
      <c r="G25" s="97">
        <v>23398</v>
      </c>
      <c r="H25" s="445">
        <v>0.7</v>
      </c>
      <c r="I25" s="97"/>
      <c r="J25" s="97">
        <f>10829.9+21000-31829.9+10829.9-3614.3</f>
        <v>7215.599999999999</v>
      </c>
      <c r="K25" s="281">
        <v>2</v>
      </c>
      <c r="L25" s="281"/>
      <c r="M25" s="281">
        <v>20341</v>
      </c>
    </row>
    <row r="26" spans="1:13" ht="12.75" hidden="1">
      <c r="A26" s="77" t="s">
        <v>124</v>
      </c>
      <c r="B26" s="474" t="s">
        <v>210</v>
      </c>
      <c r="C26" s="634" t="s">
        <v>115</v>
      </c>
      <c r="D26" s="97"/>
      <c r="E26" s="97">
        <v>0</v>
      </c>
      <c r="F26" s="97">
        <v>0</v>
      </c>
      <c r="G26" s="97">
        <v>0</v>
      </c>
      <c r="H26" s="445">
        <f>3.5-3.5</f>
        <v>0</v>
      </c>
      <c r="I26" s="97"/>
      <c r="J26" s="97">
        <f>21127.6+3614.3-24741.9</f>
        <v>0</v>
      </c>
      <c r="K26" s="281">
        <f>2.5-2.5</f>
        <v>0</v>
      </c>
      <c r="L26" s="281"/>
      <c r="M26" s="281">
        <f>20341-20341</f>
        <v>0</v>
      </c>
    </row>
    <row r="27" spans="1:13" ht="12.75" hidden="1">
      <c r="A27" s="77" t="s">
        <v>124</v>
      </c>
      <c r="B27" s="467" t="s">
        <v>203</v>
      </c>
      <c r="C27" s="634"/>
      <c r="D27" s="97"/>
      <c r="E27" s="97">
        <v>0</v>
      </c>
      <c r="F27" s="97">
        <v>0</v>
      </c>
      <c r="G27" s="97">
        <v>0</v>
      </c>
      <c r="H27" s="319"/>
      <c r="I27" s="3"/>
      <c r="J27" s="97"/>
      <c r="K27" s="236"/>
      <c r="L27" s="236"/>
      <c r="M27" s="281">
        <v>9000</v>
      </c>
    </row>
    <row r="28" spans="1:13" ht="12.75">
      <c r="A28" s="77" t="s">
        <v>117</v>
      </c>
      <c r="B28" s="475" t="s">
        <v>211</v>
      </c>
      <c r="C28" s="516"/>
      <c r="D28" s="98"/>
      <c r="E28" s="98">
        <v>0</v>
      </c>
      <c r="F28" s="98">
        <v>8000</v>
      </c>
      <c r="G28" s="98">
        <v>0</v>
      </c>
      <c r="H28" s="443"/>
      <c r="I28" s="98">
        <v>26000</v>
      </c>
      <c r="J28" s="98"/>
      <c r="K28" s="282" t="s">
        <v>16</v>
      </c>
      <c r="L28" s="282">
        <f>65000-I28-F28</f>
        <v>31000</v>
      </c>
      <c r="M28" s="282"/>
    </row>
    <row r="29" spans="2:13" ht="15" customHeight="1">
      <c r="B29" s="476" t="s">
        <v>120</v>
      </c>
      <c r="C29" s="635"/>
      <c r="D29" s="265"/>
      <c r="E29" s="265">
        <v>0</v>
      </c>
      <c r="F29" s="265">
        <v>0</v>
      </c>
      <c r="G29" s="265">
        <v>34428.8</v>
      </c>
      <c r="H29" s="447">
        <f aca="true" t="shared" si="5" ref="H29:M29">SUM(H30:H33)</f>
        <v>0</v>
      </c>
      <c r="I29" s="265">
        <f t="shared" si="5"/>
        <v>0</v>
      </c>
      <c r="J29" s="265">
        <f t="shared" si="5"/>
        <v>0</v>
      </c>
      <c r="K29" s="265">
        <f t="shared" si="5"/>
        <v>0</v>
      </c>
      <c r="L29" s="265">
        <f t="shared" si="5"/>
        <v>0</v>
      </c>
      <c r="M29" s="265">
        <f t="shared" si="5"/>
        <v>15000</v>
      </c>
    </row>
    <row r="30" spans="1:13" ht="24" hidden="1">
      <c r="A30" s="77" t="s">
        <v>117</v>
      </c>
      <c r="B30" s="473" t="s">
        <v>212</v>
      </c>
      <c r="C30" s="633"/>
      <c r="D30" s="133"/>
      <c r="E30" s="97"/>
      <c r="F30" s="133"/>
      <c r="G30" s="133"/>
      <c r="H30" s="445"/>
      <c r="I30" s="133"/>
      <c r="J30" s="134"/>
      <c r="K30" s="97" t="s">
        <v>17</v>
      </c>
      <c r="L30" s="133"/>
      <c r="M30" s="134">
        <v>15000</v>
      </c>
    </row>
    <row r="31" spans="1:13" ht="36" hidden="1">
      <c r="A31" s="77" t="s">
        <v>117</v>
      </c>
      <c r="B31" s="477" t="s">
        <v>18</v>
      </c>
      <c r="C31" s="630"/>
      <c r="D31" s="201"/>
      <c r="E31" s="97"/>
      <c r="F31" s="200"/>
      <c r="G31" s="201">
        <v>0</v>
      </c>
      <c r="H31" s="445"/>
      <c r="I31" s="200"/>
      <c r="J31" s="201"/>
      <c r="K31" s="97"/>
      <c r="L31" s="200"/>
      <c r="M31" s="201"/>
    </row>
    <row r="32" spans="1:13" ht="24">
      <c r="A32" s="77" t="s">
        <v>117</v>
      </c>
      <c r="B32" s="474" t="s">
        <v>20</v>
      </c>
      <c r="C32" s="634"/>
      <c r="D32" s="97" t="s">
        <v>213</v>
      </c>
      <c r="E32" s="97">
        <v>0</v>
      </c>
      <c r="F32" s="185">
        <v>0</v>
      </c>
      <c r="G32" s="178">
        <v>17000</v>
      </c>
      <c r="H32" s="197"/>
      <c r="I32" s="185"/>
      <c r="J32" s="178"/>
      <c r="K32" s="185"/>
      <c r="L32" s="185"/>
      <c r="M32" s="178"/>
    </row>
    <row r="33" spans="1:13" ht="12.75">
      <c r="A33" s="77" t="s">
        <v>117</v>
      </c>
      <c r="B33" s="474" t="s">
        <v>214</v>
      </c>
      <c r="C33" s="634"/>
      <c r="D33" s="97" t="s">
        <v>215</v>
      </c>
      <c r="E33" s="97">
        <v>0</v>
      </c>
      <c r="F33" s="185">
        <v>0</v>
      </c>
      <c r="G33" s="178">
        <v>17428.8</v>
      </c>
      <c r="H33" s="197"/>
      <c r="I33" s="185"/>
      <c r="J33" s="185"/>
      <c r="K33" s="185"/>
      <c r="L33" s="185"/>
      <c r="M33" s="185"/>
    </row>
    <row r="34" spans="2:13" ht="15" customHeight="1">
      <c r="B34" s="478" t="s">
        <v>216</v>
      </c>
      <c r="C34" s="622"/>
      <c r="D34" s="88"/>
      <c r="E34" s="88">
        <v>2.34</v>
      </c>
      <c r="F34" s="88">
        <v>29738.9</v>
      </c>
      <c r="G34" s="88">
        <v>9354.2</v>
      </c>
      <c r="H34" s="194">
        <f aca="true" t="shared" si="6" ref="H34:M34">SUM(H35:H40)</f>
        <v>6.6</v>
      </c>
      <c r="I34" s="88">
        <f t="shared" si="6"/>
        <v>43400</v>
      </c>
      <c r="J34" s="88">
        <f t="shared" si="6"/>
        <v>21600</v>
      </c>
      <c r="K34" s="88">
        <f t="shared" si="6"/>
        <v>4.5</v>
      </c>
      <c r="L34" s="88">
        <f t="shared" si="6"/>
        <v>25775.9</v>
      </c>
      <c r="M34" s="88">
        <f t="shared" si="6"/>
        <v>35775.9</v>
      </c>
    </row>
    <row r="35" spans="1:13" ht="19.5">
      <c r="A35" s="77" t="s">
        <v>124</v>
      </c>
      <c r="B35" s="473" t="s">
        <v>145</v>
      </c>
      <c r="C35" s="626" t="s">
        <v>217</v>
      </c>
      <c r="D35" s="636"/>
      <c r="E35" s="95">
        <v>1</v>
      </c>
      <c r="F35" s="95">
        <v>19738.9</v>
      </c>
      <c r="G35" s="95">
        <v>0</v>
      </c>
      <c r="H35" s="448">
        <f>3.5+2-2</f>
        <v>3.5</v>
      </c>
      <c r="I35" s="95">
        <f>43400+2457-2457</f>
        <v>43400</v>
      </c>
      <c r="J35" s="130"/>
      <c r="K35" s="95">
        <v>2.5</v>
      </c>
      <c r="L35" s="95">
        <v>25775.9</v>
      </c>
      <c r="M35" s="130"/>
    </row>
    <row r="36" spans="1:13" ht="12.75">
      <c r="A36" s="77" t="s">
        <v>124</v>
      </c>
      <c r="B36" s="474" t="s">
        <v>219</v>
      </c>
      <c r="C36" s="634" t="s">
        <v>115</v>
      </c>
      <c r="D36" s="637"/>
      <c r="E36" s="789">
        <v>0.54</v>
      </c>
      <c r="F36" s="97">
        <v>0</v>
      </c>
      <c r="G36" s="97">
        <v>3600.9</v>
      </c>
      <c r="H36" s="445">
        <v>3.1</v>
      </c>
      <c r="I36" s="186"/>
      <c r="J36" s="97">
        <f>6600+15000</f>
        <v>21600</v>
      </c>
      <c r="K36" s="97">
        <v>1</v>
      </c>
      <c r="L36" s="186"/>
      <c r="M36" s="97">
        <f>25775.9-5775.9-11000</f>
        <v>9000</v>
      </c>
    </row>
    <row r="37" spans="1:13" ht="12.75">
      <c r="A37" s="77" t="s">
        <v>124</v>
      </c>
      <c r="B37" s="474" t="s">
        <v>220</v>
      </c>
      <c r="C37" s="634" t="s">
        <v>115</v>
      </c>
      <c r="D37" s="637"/>
      <c r="E37" s="97">
        <v>0.5</v>
      </c>
      <c r="F37" s="97">
        <v>10000</v>
      </c>
      <c r="G37" s="186">
        <v>0</v>
      </c>
      <c r="H37" s="445"/>
      <c r="I37" s="97"/>
      <c r="J37" s="186"/>
      <c r="K37" s="97"/>
      <c r="L37" s="97"/>
      <c r="M37" s="186"/>
    </row>
    <row r="38" spans="1:13" ht="27" customHeight="1">
      <c r="A38" s="77" t="s">
        <v>124</v>
      </c>
      <c r="B38" s="474" t="s">
        <v>221</v>
      </c>
      <c r="C38" s="634" t="s">
        <v>121</v>
      </c>
      <c r="D38" s="97"/>
      <c r="E38" s="97">
        <v>0.3</v>
      </c>
      <c r="F38" s="97">
        <v>0</v>
      </c>
      <c r="G38" s="97">
        <v>5153.3</v>
      </c>
      <c r="H38" s="445"/>
      <c r="I38" s="97"/>
      <c r="J38" s="97"/>
      <c r="K38" s="97">
        <v>1</v>
      </c>
      <c r="L38" s="97"/>
      <c r="M38" s="97">
        <f>5775.9+11000</f>
        <v>16775.9</v>
      </c>
    </row>
    <row r="39" spans="2:13" ht="24">
      <c r="B39" s="467" t="s">
        <v>413</v>
      </c>
      <c r="C39" s="638"/>
      <c r="D39" s="129"/>
      <c r="E39" s="129">
        <v>0</v>
      </c>
      <c r="F39" s="129">
        <v>0</v>
      </c>
      <c r="G39" s="129">
        <v>600</v>
      </c>
      <c r="H39" s="449"/>
      <c r="I39" s="129"/>
      <c r="J39" s="129"/>
      <c r="K39" s="129"/>
      <c r="L39" s="129"/>
      <c r="M39" s="129"/>
    </row>
    <row r="40" spans="1:13" ht="24" hidden="1">
      <c r="A40" s="77" t="s">
        <v>117</v>
      </c>
      <c r="B40" s="475" t="s">
        <v>222</v>
      </c>
      <c r="C40" s="627"/>
      <c r="D40" s="98"/>
      <c r="E40" s="98"/>
      <c r="F40" s="98"/>
      <c r="G40" s="98"/>
      <c r="H40" s="443"/>
      <c r="I40" s="98"/>
      <c r="J40" s="98"/>
      <c r="K40" s="98" t="s">
        <v>21</v>
      </c>
      <c r="L40" s="98"/>
      <c r="M40" s="98">
        <v>10000</v>
      </c>
    </row>
    <row r="41" spans="2:13" ht="14.25" hidden="1">
      <c r="B41" s="478" t="s">
        <v>223</v>
      </c>
      <c r="C41" s="639"/>
      <c r="D41" s="187"/>
      <c r="E41" s="187"/>
      <c r="F41" s="187"/>
      <c r="G41" s="187"/>
      <c r="H41" s="450">
        <f>+H44</f>
        <v>1.8</v>
      </c>
      <c r="I41" s="132">
        <f>+I44+I42</f>
        <v>12600.000000000002</v>
      </c>
      <c r="J41" s="132">
        <f>+J44+J42</f>
        <v>13387.8</v>
      </c>
      <c r="K41" s="132">
        <f>+K44+K42+K43</f>
        <v>1.5</v>
      </c>
      <c r="L41" s="132">
        <f>+L44+L42</f>
        <v>0</v>
      </c>
      <c r="M41" s="132">
        <f>+M44+M42+M43</f>
        <v>17860.1</v>
      </c>
    </row>
    <row r="42" spans="1:13" ht="24" hidden="1">
      <c r="A42" s="77" t="s">
        <v>117</v>
      </c>
      <c r="B42" s="467" t="s">
        <v>224</v>
      </c>
      <c r="C42" s="623"/>
      <c r="D42" s="97"/>
      <c r="E42" s="97"/>
      <c r="F42" s="97"/>
      <c r="G42" s="97"/>
      <c r="H42" s="445" t="s">
        <v>225</v>
      </c>
      <c r="I42" s="97">
        <f>19416.9-6816.9</f>
        <v>12600.000000000002</v>
      </c>
      <c r="J42" s="97"/>
      <c r="K42" s="97"/>
      <c r="L42" s="97"/>
      <c r="M42" s="97"/>
    </row>
    <row r="43" spans="2:13" ht="12.75" hidden="1">
      <c r="B43" s="467" t="s">
        <v>203</v>
      </c>
      <c r="C43" s="624"/>
      <c r="D43" s="129"/>
      <c r="E43" s="129"/>
      <c r="F43" s="129"/>
      <c r="G43" s="129"/>
      <c r="H43" s="449"/>
      <c r="I43" s="129"/>
      <c r="J43" s="129"/>
      <c r="K43" s="129"/>
      <c r="L43" s="129"/>
      <c r="M43" s="129">
        <v>4000</v>
      </c>
    </row>
    <row r="44" spans="1:13" ht="12.75" hidden="1">
      <c r="A44" s="77" t="s">
        <v>124</v>
      </c>
      <c r="B44" s="470" t="s">
        <v>226</v>
      </c>
      <c r="C44" s="627" t="s">
        <v>115</v>
      </c>
      <c r="D44" s="98"/>
      <c r="E44" s="98"/>
      <c r="F44" s="98"/>
      <c r="G44" s="98"/>
      <c r="H44" s="443">
        <v>1.8</v>
      </c>
      <c r="I44" s="98"/>
      <c r="J44" s="98">
        <v>13387.8</v>
      </c>
      <c r="K44" s="282">
        <v>1.5</v>
      </c>
      <c r="L44" s="282"/>
      <c r="M44" s="282">
        <v>13860.1</v>
      </c>
    </row>
    <row r="45" spans="2:13" ht="14.25">
      <c r="B45" s="466" t="s">
        <v>404</v>
      </c>
      <c r="C45" s="88"/>
      <c r="D45" s="88"/>
      <c r="E45" s="88">
        <v>3.675</v>
      </c>
      <c r="F45" s="88">
        <v>29995.8</v>
      </c>
      <c r="G45" s="88">
        <v>16379.3</v>
      </c>
      <c r="H45" s="194">
        <f aca="true" t="shared" si="7" ref="H45:M45">SUM(H46:H49)</f>
        <v>5.48</v>
      </c>
      <c r="I45" s="88">
        <f t="shared" si="7"/>
        <v>0</v>
      </c>
      <c r="J45" s="88">
        <f>SUM(J46:J49)</f>
        <v>51498.8</v>
      </c>
      <c r="K45" s="88">
        <f t="shared" si="7"/>
        <v>5.1</v>
      </c>
      <c r="L45" s="88">
        <f t="shared" si="7"/>
        <v>40000</v>
      </c>
      <c r="M45" s="88">
        <f t="shared" si="7"/>
        <v>23411.2</v>
      </c>
    </row>
    <row r="46" spans="1:13" ht="12.75" hidden="1">
      <c r="A46" s="77" t="s">
        <v>117</v>
      </c>
      <c r="B46" s="469" t="s">
        <v>22</v>
      </c>
      <c r="C46" s="626"/>
      <c r="D46" s="95"/>
      <c r="E46" s="95"/>
      <c r="F46" s="95"/>
      <c r="G46" s="95"/>
      <c r="H46" s="445" t="s">
        <v>23</v>
      </c>
      <c r="I46" s="95"/>
      <c r="J46" s="95">
        <v>10000</v>
      </c>
      <c r="K46" s="97"/>
      <c r="L46" s="95"/>
      <c r="M46" s="95"/>
    </row>
    <row r="47" spans="1:13" ht="12.75">
      <c r="A47" s="77" t="s">
        <v>124</v>
      </c>
      <c r="B47" s="467" t="s">
        <v>227</v>
      </c>
      <c r="C47" s="634" t="s">
        <v>115</v>
      </c>
      <c r="D47" s="97"/>
      <c r="E47" s="97">
        <v>1.475</v>
      </c>
      <c r="F47" s="97">
        <v>0</v>
      </c>
      <c r="G47" s="97">
        <v>16379.3</v>
      </c>
      <c r="H47" s="445">
        <v>3.6</v>
      </c>
      <c r="I47" s="97"/>
      <c r="J47" s="97">
        <v>25498.8</v>
      </c>
      <c r="K47" s="97">
        <v>3.1</v>
      </c>
      <c r="L47" s="97"/>
      <c r="M47" s="97">
        <v>23411.2</v>
      </c>
    </row>
    <row r="48" spans="1:13" ht="12.75" hidden="1">
      <c r="A48" s="77" t="s">
        <v>124</v>
      </c>
      <c r="B48" s="468" t="s">
        <v>228</v>
      </c>
      <c r="C48" s="624" t="s">
        <v>121</v>
      </c>
      <c r="D48" s="129"/>
      <c r="E48" s="129">
        <v>0</v>
      </c>
      <c r="F48" s="129">
        <v>0</v>
      </c>
      <c r="G48" s="129">
        <v>0</v>
      </c>
      <c r="H48" s="449">
        <v>1.88</v>
      </c>
      <c r="I48" s="129"/>
      <c r="J48" s="129">
        <v>16000</v>
      </c>
      <c r="K48" s="129"/>
      <c r="L48" s="129"/>
      <c r="M48" s="129"/>
    </row>
    <row r="49" spans="1:13" ht="12.75">
      <c r="A49" s="77" t="s">
        <v>124</v>
      </c>
      <c r="B49" s="470" t="s">
        <v>229</v>
      </c>
      <c r="C49" s="627" t="s">
        <v>121</v>
      </c>
      <c r="D49" s="98"/>
      <c r="E49" s="98">
        <v>2.2</v>
      </c>
      <c r="F49" s="98">
        <v>29995.8</v>
      </c>
      <c r="G49" s="98">
        <v>0</v>
      </c>
      <c r="H49" s="443"/>
      <c r="I49" s="98"/>
      <c r="J49" s="98"/>
      <c r="K49" s="98">
        <v>2</v>
      </c>
      <c r="L49" s="98">
        <v>40000</v>
      </c>
      <c r="M49" s="98"/>
    </row>
    <row r="50" spans="2:13" ht="14.25" hidden="1">
      <c r="B50" s="466" t="s">
        <v>231</v>
      </c>
      <c r="C50" s="640"/>
      <c r="D50" s="251">
        <f aca="true" t="shared" si="8" ref="D50:L50">D51</f>
        <v>0</v>
      </c>
      <c r="E50" s="251">
        <v>0</v>
      </c>
      <c r="F50" s="251">
        <v>0</v>
      </c>
      <c r="G50" s="251">
        <v>0</v>
      </c>
      <c r="H50" s="451">
        <f t="shared" si="8"/>
        <v>0</v>
      </c>
      <c r="I50" s="251">
        <f t="shared" si="8"/>
        <v>0</v>
      </c>
      <c r="J50" s="251">
        <f t="shared" si="8"/>
        <v>0</v>
      </c>
      <c r="K50" s="251"/>
      <c r="L50" s="251">
        <f t="shared" si="8"/>
        <v>0</v>
      </c>
      <c r="M50" s="280">
        <f>M51</f>
        <v>12000</v>
      </c>
    </row>
    <row r="51" spans="1:13" ht="24" hidden="1">
      <c r="A51" s="77" t="s">
        <v>117</v>
      </c>
      <c r="B51" s="469" t="s">
        <v>232</v>
      </c>
      <c r="C51" s="641"/>
      <c r="D51" s="133"/>
      <c r="E51" s="133"/>
      <c r="F51" s="133"/>
      <c r="G51" s="133"/>
      <c r="H51" s="445"/>
      <c r="I51" s="133"/>
      <c r="J51" s="134"/>
      <c r="K51" s="97" t="s">
        <v>24</v>
      </c>
      <c r="L51" s="133"/>
      <c r="M51" s="134">
        <v>12000</v>
      </c>
    </row>
    <row r="52" spans="2:13" ht="14.25" hidden="1">
      <c r="B52" s="466" t="s">
        <v>122</v>
      </c>
      <c r="C52" s="622"/>
      <c r="D52" s="88"/>
      <c r="E52" s="88">
        <v>0</v>
      </c>
      <c r="F52" s="88">
        <v>0</v>
      </c>
      <c r="G52" s="88">
        <v>0</v>
      </c>
      <c r="H52" s="194">
        <f aca="true" t="shared" si="9" ref="H52:M52">SUM(H53:H54)</f>
        <v>4</v>
      </c>
      <c r="I52" s="88">
        <f t="shared" si="9"/>
        <v>0</v>
      </c>
      <c r="J52" s="88">
        <f t="shared" si="9"/>
        <v>29711.7</v>
      </c>
      <c r="K52" s="88">
        <f t="shared" si="9"/>
        <v>1.6</v>
      </c>
      <c r="L52" s="88">
        <f t="shared" si="9"/>
        <v>0</v>
      </c>
      <c r="M52" s="88">
        <f t="shared" si="9"/>
        <v>13279.2</v>
      </c>
    </row>
    <row r="53" spans="1:13" ht="24" hidden="1">
      <c r="A53" s="77" t="s">
        <v>124</v>
      </c>
      <c r="B53" s="469" t="s">
        <v>233</v>
      </c>
      <c r="C53" s="626" t="s">
        <v>115</v>
      </c>
      <c r="D53" s="642"/>
      <c r="E53" s="642"/>
      <c r="F53" s="642"/>
      <c r="G53" s="133"/>
      <c r="H53" s="448">
        <v>4</v>
      </c>
      <c r="I53" s="133"/>
      <c r="J53" s="95">
        <v>29711.7</v>
      </c>
      <c r="K53" s="95"/>
      <c r="L53" s="133"/>
      <c r="M53" s="95"/>
    </row>
    <row r="54" spans="1:13" ht="12.75" hidden="1">
      <c r="A54" s="77" t="s">
        <v>124</v>
      </c>
      <c r="B54" s="467" t="s">
        <v>234</v>
      </c>
      <c r="C54" s="624" t="s">
        <v>121</v>
      </c>
      <c r="D54" s="643"/>
      <c r="E54" s="643"/>
      <c r="F54" s="643"/>
      <c r="G54" s="185"/>
      <c r="H54" s="445"/>
      <c r="I54" s="185"/>
      <c r="J54" s="97"/>
      <c r="K54" s="97">
        <v>1.6</v>
      </c>
      <c r="L54" s="185"/>
      <c r="M54" s="97">
        <v>13279.2</v>
      </c>
    </row>
    <row r="55" spans="2:13" ht="14.25" hidden="1">
      <c r="B55" s="466" t="s">
        <v>230</v>
      </c>
      <c r="C55" s="639"/>
      <c r="D55" s="790"/>
      <c r="E55" s="790">
        <v>0</v>
      </c>
      <c r="F55" s="790">
        <v>0</v>
      </c>
      <c r="G55" s="265">
        <v>0</v>
      </c>
      <c r="H55" s="508"/>
      <c r="I55" s="199"/>
      <c r="J55" s="190"/>
      <c r="K55" s="190"/>
      <c r="L55" s="199"/>
      <c r="M55" s="190"/>
    </row>
    <row r="56" spans="2:13" ht="24" hidden="1">
      <c r="B56" s="842" t="s">
        <v>143</v>
      </c>
      <c r="C56" s="634" t="s">
        <v>115</v>
      </c>
      <c r="D56" s="791"/>
      <c r="E56" s="791">
        <v>0</v>
      </c>
      <c r="F56" s="791">
        <v>0</v>
      </c>
      <c r="G56" s="199">
        <v>0</v>
      </c>
      <c r="H56" s="508"/>
      <c r="I56" s="199"/>
      <c r="J56" s="190"/>
      <c r="K56" s="190"/>
      <c r="L56" s="199"/>
      <c r="M56" s="190"/>
    </row>
    <row r="57" spans="2:13" ht="16.5" customHeight="1">
      <c r="B57" s="466" t="s">
        <v>236</v>
      </c>
      <c r="C57" s="622"/>
      <c r="D57" s="88"/>
      <c r="E57" s="88">
        <v>0.5</v>
      </c>
      <c r="F57" s="88">
        <v>3000</v>
      </c>
      <c r="G57" s="88">
        <v>16275.7</v>
      </c>
      <c r="H57" s="194">
        <f aca="true" t="shared" si="10" ref="H57:M57">SUM(H58:H63)</f>
        <v>1.7</v>
      </c>
      <c r="I57" s="88">
        <f t="shared" si="10"/>
        <v>4000</v>
      </c>
      <c r="J57" s="88">
        <f t="shared" si="10"/>
        <v>51712.1</v>
      </c>
      <c r="K57" s="88">
        <f t="shared" si="10"/>
        <v>3</v>
      </c>
      <c r="L57" s="88">
        <f t="shared" si="10"/>
        <v>0</v>
      </c>
      <c r="M57" s="88">
        <f t="shared" si="10"/>
        <v>52867</v>
      </c>
    </row>
    <row r="58" spans="1:13" ht="12.75">
      <c r="A58" s="77" t="s">
        <v>124</v>
      </c>
      <c r="B58" s="469" t="s">
        <v>237</v>
      </c>
      <c r="C58" s="626" t="s">
        <v>115</v>
      </c>
      <c r="D58" s="170"/>
      <c r="E58" s="95">
        <v>0.5</v>
      </c>
      <c r="F58" s="95">
        <v>0</v>
      </c>
      <c r="G58" s="95">
        <v>6275.7</v>
      </c>
      <c r="H58" s="441">
        <v>1.7</v>
      </c>
      <c r="I58" s="170"/>
      <c r="J58" s="170">
        <v>19712.1</v>
      </c>
      <c r="K58" s="170">
        <v>3</v>
      </c>
      <c r="L58" s="170" t="s">
        <v>347</v>
      </c>
      <c r="M58" s="170">
        <v>34297</v>
      </c>
    </row>
    <row r="59" spans="1:13" ht="12.75" hidden="1">
      <c r="A59" s="77" t="s">
        <v>124</v>
      </c>
      <c r="B59" s="471" t="s">
        <v>238</v>
      </c>
      <c r="C59" s="623" t="s">
        <v>115</v>
      </c>
      <c r="D59" s="180"/>
      <c r="E59" s="179">
        <v>0</v>
      </c>
      <c r="F59" s="179">
        <v>0</v>
      </c>
      <c r="G59" s="179">
        <v>0</v>
      </c>
      <c r="H59" s="792">
        <f>2.8-2.8</f>
        <v>0</v>
      </c>
      <c r="I59" s="180"/>
      <c r="J59" s="180">
        <f>19712.1-19712.1</f>
        <v>0</v>
      </c>
      <c r="K59" s="180"/>
      <c r="L59" s="180"/>
      <c r="M59" s="180"/>
    </row>
    <row r="60" spans="1:13" ht="12.75">
      <c r="A60" s="77" t="s">
        <v>117</v>
      </c>
      <c r="B60" s="467" t="s">
        <v>136</v>
      </c>
      <c r="C60" s="623"/>
      <c r="D60" s="172"/>
      <c r="E60" s="172">
        <v>0</v>
      </c>
      <c r="F60" s="172">
        <v>0</v>
      </c>
      <c r="G60" s="172">
        <v>5000</v>
      </c>
      <c r="H60" s="445" t="s">
        <v>239</v>
      </c>
      <c r="I60" s="172"/>
      <c r="J60" s="172">
        <v>15000</v>
      </c>
      <c r="K60" s="97"/>
      <c r="L60" s="172"/>
      <c r="M60" s="172"/>
    </row>
    <row r="61" spans="1:13" ht="24" hidden="1">
      <c r="A61" s="77" t="s">
        <v>117</v>
      </c>
      <c r="B61" s="467" t="s">
        <v>240</v>
      </c>
      <c r="C61" s="623"/>
      <c r="D61" s="172"/>
      <c r="E61" s="172">
        <v>0</v>
      </c>
      <c r="F61" s="172">
        <v>0</v>
      </c>
      <c r="G61" s="172">
        <v>0</v>
      </c>
      <c r="H61" s="193"/>
      <c r="I61" s="172"/>
      <c r="J61" s="172"/>
      <c r="K61" s="172"/>
      <c r="L61" s="172"/>
      <c r="M61" s="172">
        <v>14570</v>
      </c>
    </row>
    <row r="62" spans="1:13" ht="12.75">
      <c r="A62" s="77" t="s">
        <v>117</v>
      </c>
      <c r="B62" s="467" t="s">
        <v>241</v>
      </c>
      <c r="C62" s="623"/>
      <c r="D62" s="172"/>
      <c r="E62" s="172">
        <v>0</v>
      </c>
      <c r="F62" s="172">
        <v>0</v>
      </c>
      <c r="G62" s="172">
        <v>5000</v>
      </c>
      <c r="H62" s="445" t="s">
        <v>242</v>
      </c>
      <c r="I62" s="172"/>
      <c r="J62" s="172">
        <v>17000</v>
      </c>
      <c r="K62" s="97"/>
      <c r="L62" s="172"/>
      <c r="M62" s="172"/>
    </row>
    <row r="63" spans="1:13" ht="12.75">
      <c r="A63" s="77" t="s">
        <v>124</v>
      </c>
      <c r="B63" s="470" t="s">
        <v>203</v>
      </c>
      <c r="C63" s="516"/>
      <c r="D63" s="98"/>
      <c r="E63" s="98">
        <v>0</v>
      </c>
      <c r="F63" s="98">
        <v>3000</v>
      </c>
      <c r="G63" s="98">
        <v>0</v>
      </c>
      <c r="H63" s="443"/>
      <c r="I63" s="98">
        <v>4000</v>
      </c>
      <c r="J63" s="98"/>
      <c r="K63" s="98"/>
      <c r="L63" s="98"/>
      <c r="M63" s="98">
        <v>4000</v>
      </c>
    </row>
    <row r="64" spans="2:13" ht="15" customHeight="1">
      <c r="B64" s="466" t="s">
        <v>243</v>
      </c>
      <c r="C64" s="622"/>
      <c r="D64" s="175"/>
      <c r="E64" s="175">
        <v>3.6</v>
      </c>
      <c r="F64" s="175">
        <v>0</v>
      </c>
      <c r="G64" s="88">
        <v>17398.96</v>
      </c>
      <c r="H64" s="194">
        <f aca="true" t="shared" si="11" ref="H64:M64">SUM(H65:H65)</f>
        <v>5.2</v>
      </c>
      <c r="I64" s="88">
        <f t="shared" si="11"/>
        <v>0</v>
      </c>
      <c r="J64" s="88">
        <f t="shared" si="11"/>
        <v>33055.5755</v>
      </c>
      <c r="K64" s="88">
        <f t="shared" si="11"/>
        <v>3.5</v>
      </c>
      <c r="L64" s="88">
        <f t="shared" si="11"/>
        <v>0</v>
      </c>
      <c r="M64" s="88">
        <f t="shared" si="11"/>
        <v>40863.4</v>
      </c>
    </row>
    <row r="65" spans="1:13" ht="22.5" customHeight="1">
      <c r="A65" s="77" t="s">
        <v>124</v>
      </c>
      <c r="B65" s="479" t="s">
        <v>244</v>
      </c>
      <c r="C65" s="516" t="s">
        <v>115</v>
      </c>
      <c r="D65" s="98"/>
      <c r="E65" s="98">
        <v>3.6</v>
      </c>
      <c r="F65" s="98">
        <v>0</v>
      </c>
      <c r="G65" s="98">
        <v>17398.96</v>
      </c>
      <c r="H65" s="443">
        <v>5.2</v>
      </c>
      <c r="I65" s="98"/>
      <c r="J65" s="98">
        <v>33055.5755</v>
      </c>
      <c r="K65" s="282">
        <v>3.5</v>
      </c>
      <c r="L65" s="282"/>
      <c r="M65" s="282">
        <v>40863.4</v>
      </c>
    </row>
    <row r="66" spans="2:13" ht="14.25">
      <c r="B66" s="466" t="s">
        <v>245</v>
      </c>
      <c r="C66" s="622"/>
      <c r="D66" s="88"/>
      <c r="E66" s="88">
        <v>0.38</v>
      </c>
      <c r="F66" s="88">
        <v>0</v>
      </c>
      <c r="G66" s="88">
        <v>11160.9</v>
      </c>
      <c r="H66" s="194">
        <f aca="true" t="shared" si="12" ref="H66:M66">SUM(H67:H75)</f>
        <v>2</v>
      </c>
      <c r="I66" s="88">
        <f t="shared" si="12"/>
        <v>0</v>
      </c>
      <c r="J66" s="88">
        <f>SUM(J67:J75)</f>
        <v>46545.3</v>
      </c>
      <c r="K66" s="88">
        <f t="shared" si="12"/>
        <v>1</v>
      </c>
      <c r="L66" s="88">
        <f>SUM(L67:L75)</f>
        <v>0</v>
      </c>
      <c r="M66" s="88">
        <f t="shared" si="12"/>
        <v>48726.2</v>
      </c>
    </row>
    <row r="67" spans="1:13" ht="12.75" hidden="1">
      <c r="A67" s="77" t="s">
        <v>117</v>
      </c>
      <c r="B67" s="480" t="s">
        <v>25</v>
      </c>
      <c r="C67" s="646"/>
      <c r="D67" s="133"/>
      <c r="E67" s="133"/>
      <c r="F67" s="133"/>
      <c r="G67" s="133"/>
      <c r="H67" s="195" t="s">
        <v>26</v>
      </c>
      <c r="I67" s="133"/>
      <c r="J67" s="134">
        <v>6480.1</v>
      </c>
      <c r="K67" s="133"/>
      <c r="L67" s="133"/>
      <c r="M67" s="134"/>
    </row>
    <row r="68" spans="1:13" ht="12.75" hidden="1">
      <c r="A68" s="77" t="s">
        <v>117</v>
      </c>
      <c r="B68" s="481" t="s">
        <v>246</v>
      </c>
      <c r="C68" s="648"/>
      <c r="D68" s="185"/>
      <c r="E68" s="185"/>
      <c r="F68" s="185"/>
      <c r="G68" s="185"/>
      <c r="H68" s="197"/>
      <c r="I68" s="185"/>
      <c r="J68" s="178"/>
      <c r="K68" s="178" t="s">
        <v>27</v>
      </c>
      <c r="L68" s="185"/>
      <c r="M68" s="178">
        <v>7000</v>
      </c>
    </row>
    <row r="69" spans="1:13" ht="24" hidden="1">
      <c r="A69" s="77" t="s">
        <v>117</v>
      </c>
      <c r="B69" s="481" t="s">
        <v>247</v>
      </c>
      <c r="C69" s="648"/>
      <c r="D69" s="185"/>
      <c r="E69" s="185"/>
      <c r="F69" s="185"/>
      <c r="G69" s="185"/>
      <c r="H69" s="197"/>
      <c r="I69" s="185"/>
      <c r="J69" s="178"/>
      <c r="K69" s="178" t="s">
        <v>28</v>
      </c>
      <c r="L69" s="185"/>
      <c r="M69" s="178">
        <v>10000</v>
      </c>
    </row>
    <row r="70" spans="1:13" ht="24">
      <c r="A70" s="77" t="s">
        <v>117</v>
      </c>
      <c r="B70" s="481" t="s">
        <v>137</v>
      </c>
      <c r="C70" s="648"/>
      <c r="D70" s="97"/>
      <c r="E70" s="97">
        <v>0</v>
      </c>
      <c r="F70" s="185">
        <v>0</v>
      </c>
      <c r="G70" s="178">
        <v>6000</v>
      </c>
      <c r="H70" s="445" t="s">
        <v>248</v>
      </c>
      <c r="I70" s="185"/>
      <c r="J70" s="178">
        <v>12000</v>
      </c>
      <c r="K70" s="185"/>
      <c r="L70" s="185"/>
      <c r="M70" s="185"/>
    </row>
    <row r="71" spans="1:13" ht="24" hidden="1">
      <c r="A71" s="77" t="s">
        <v>124</v>
      </c>
      <c r="B71" s="482" t="s">
        <v>402</v>
      </c>
      <c r="C71" s="649"/>
      <c r="D71" s="650"/>
      <c r="E71" s="650">
        <v>0</v>
      </c>
      <c r="F71" s="324">
        <v>0</v>
      </c>
      <c r="G71" s="650">
        <v>0</v>
      </c>
      <c r="H71" s="452"/>
      <c r="I71" s="324"/>
      <c r="J71" s="324"/>
      <c r="K71" s="324"/>
      <c r="L71" s="324"/>
      <c r="M71" s="325">
        <v>3000</v>
      </c>
    </row>
    <row r="72" spans="1:13" ht="24" hidden="1">
      <c r="A72" s="77" t="s">
        <v>124</v>
      </c>
      <c r="B72" s="482" t="s">
        <v>401</v>
      </c>
      <c r="C72" s="649"/>
      <c r="D72" s="650"/>
      <c r="E72" s="650">
        <v>0</v>
      </c>
      <c r="F72" s="324">
        <v>0</v>
      </c>
      <c r="G72" s="650">
        <v>0</v>
      </c>
      <c r="H72" s="452"/>
      <c r="I72" s="324"/>
      <c r="J72" s="324"/>
      <c r="K72" s="324"/>
      <c r="L72" s="324"/>
      <c r="M72" s="325">
        <v>5000</v>
      </c>
    </row>
    <row r="73" spans="1:13" ht="24" hidden="1">
      <c r="A73" s="77" t="s">
        <v>124</v>
      </c>
      <c r="B73" s="482" t="s">
        <v>400</v>
      </c>
      <c r="C73" s="649"/>
      <c r="D73" s="650"/>
      <c r="E73" s="650">
        <v>0</v>
      </c>
      <c r="F73" s="324">
        <v>0</v>
      </c>
      <c r="G73" s="650">
        <v>0</v>
      </c>
      <c r="H73" s="452"/>
      <c r="I73" s="324"/>
      <c r="J73" s="324"/>
      <c r="K73" s="324"/>
      <c r="L73" s="324"/>
      <c r="M73" s="325">
        <v>5000</v>
      </c>
    </row>
    <row r="74" spans="1:13" ht="24" hidden="1">
      <c r="A74" s="77" t="s">
        <v>124</v>
      </c>
      <c r="B74" s="482" t="s">
        <v>399</v>
      </c>
      <c r="C74" s="649"/>
      <c r="D74" s="650"/>
      <c r="E74" s="650">
        <v>0</v>
      </c>
      <c r="F74" s="324">
        <v>0</v>
      </c>
      <c r="G74" s="650">
        <v>0</v>
      </c>
      <c r="H74" s="452"/>
      <c r="I74" s="324"/>
      <c r="J74" s="324"/>
      <c r="K74" s="324"/>
      <c r="L74" s="324"/>
      <c r="M74" s="325">
        <v>3000</v>
      </c>
    </row>
    <row r="75" spans="1:13" ht="12.75">
      <c r="A75" s="77" t="s">
        <v>124</v>
      </c>
      <c r="B75" s="483" t="s">
        <v>249</v>
      </c>
      <c r="C75" s="516" t="s">
        <v>250</v>
      </c>
      <c r="D75" s="191"/>
      <c r="E75" s="98">
        <v>0.38</v>
      </c>
      <c r="F75" s="98">
        <v>0</v>
      </c>
      <c r="G75" s="98">
        <v>5160.9</v>
      </c>
      <c r="H75" s="453">
        <v>2</v>
      </c>
      <c r="I75" s="191"/>
      <c r="J75" s="191">
        <f>30272-2206.8</f>
        <v>28065.2</v>
      </c>
      <c r="K75" s="191">
        <v>1</v>
      </c>
      <c r="L75" s="191"/>
      <c r="M75" s="191">
        <v>15726.2</v>
      </c>
    </row>
    <row r="76" spans="2:13" ht="14.25">
      <c r="B76" s="466" t="s">
        <v>251</v>
      </c>
      <c r="C76" s="622"/>
      <c r="D76" s="88"/>
      <c r="E76" s="88">
        <v>0.425</v>
      </c>
      <c r="F76" s="88">
        <v>0</v>
      </c>
      <c r="G76" s="88">
        <v>36745</v>
      </c>
      <c r="H76" s="194">
        <f>SUM(H78:H81)</f>
        <v>5.1</v>
      </c>
      <c r="I76" s="88">
        <f>SUM(I77:I81)</f>
        <v>35391.1</v>
      </c>
      <c r="J76" s="88">
        <f>SUM(J78:J81)</f>
        <v>16554.9</v>
      </c>
      <c r="K76" s="88">
        <f>SUM(K78:K81)</f>
        <v>0</v>
      </c>
      <c r="L76" s="88">
        <f>SUM(L78:L81)</f>
        <v>0</v>
      </c>
      <c r="M76" s="88">
        <f>SUM(M78:M81)</f>
        <v>0</v>
      </c>
    </row>
    <row r="77" spans="1:13" ht="12.75">
      <c r="A77" s="77" t="s">
        <v>117</v>
      </c>
      <c r="B77" s="469" t="s">
        <v>398</v>
      </c>
      <c r="C77" s="646"/>
      <c r="D77" s="653" t="s">
        <v>29</v>
      </c>
      <c r="E77" s="642">
        <v>0</v>
      </c>
      <c r="F77" s="642">
        <v>0</v>
      </c>
      <c r="G77" s="134">
        <v>17994.7</v>
      </c>
      <c r="H77" s="454"/>
      <c r="I77" s="133"/>
      <c r="J77" s="133"/>
      <c r="K77" s="133"/>
      <c r="L77" s="133"/>
      <c r="M77" s="133"/>
    </row>
    <row r="78" spans="1:13" ht="24" hidden="1">
      <c r="A78" s="77" t="s">
        <v>117</v>
      </c>
      <c r="B78" s="467" t="s">
        <v>252</v>
      </c>
      <c r="C78" s="648"/>
      <c r="D78" s="643"/>
      <c r="E78" s="185">
        <v>0</v>
      </c>
      <c r="F78" s="185">
        <v>0</v>
      </c>
      <c r="G78" s="185">
        <v>0</v>
      </c>
      <c r="H78" s="445" t="s">
        <v>30</v>
      </c>
      <c r="I78" s="178">
        <f>10000-1000-1000</f>
        <v>8000</v>
      </c>
      <c r="J78" s="185"/>
      <c r="K78" s="97"/>
      <c r="L78" s="178"/>
      <c r="M78" s="185"/>
    </row>
    <row r="79" spans="2:13" ht="24">
      <c r="B79" s="467" t="s">
        <v>2</v>
      </c>
      <c r="C79" s="648"/>
      <c r="D79" s="643"/>
      <c r="E79" s="185">
        <v>0</v>
      </c>
      <c r="F79" s="185">
        <v>0</v>
      </c>
      <c r="G79" s="97">
        <v>10760.6</v>
      </c>
      <c r="H79" s="445"/>
      <c r="I79" s="178"/>
      <c r="J79" s="185"/>
      <c r="K79" s="97"/>
      <c r="L79" s="178"/>
      <c r="M79" s="185"/>
    </row>
    <row r="80" spans="1:13" ht="12.75">
      <c r="A80" s="77" t="s">
        <v>124</v>
      </c>
      <c r="B80" s="467" t="s">
        <v>253</v>
      </c>
      <c r="C80" s="634" t="s">
        <v>121</v>
      </c>
      <c r="D80" s="97"/>
      <c r="E80" s="97">
        <v>0.425</v>
      </c>
      <c r="F80" s="97">
        <v>0</v>
      </c>
      <c r="G80" s="97">
        <v>7989.7</v>
      </c>
      <c r="H80" s="445">
        <v>1.9</v>
      </c>
      <c r="I80" s="97"/>
      <c r="J80" s="97">
        <v>16554.9</v>
      </c>
      <c r="K80" s="97"/>
      <c r="L80" s="97"/>
      <c r="M80" s="97"/>
    </row>
    <row r="81" spans="1:13" ht="15.75" customHeight="1" hidden="1">
      <c r="A81" s="77" t="s">
        <v>124</v>
      </c>
      <c r="B81" s="467" t="s">
        <v>254</v>
      </c>
      <c r="C81" s="634" t="s">
        <v>121</v>
      </c>
      <c r="D81" s="97"/>
      <c r="E81" s="97"/>
      <c r="F81" s="97"/>
      <c r="G81" s="97"/>
      <c r="H81" s="445">
        <v>3.2</v>
      </c>
      <c r="I81" s="97">
        <v>27391.1</v>
      </c>
      <c r="J81" s="97"/>
      <c r="K81" s="97"/>
      <c r="L81" s="97"/>
      <c r="M81" s="97"/>
    </row>
    <row r="82" spans="2:13" ht="14.25">
      <c r="B82" s="466" t="s">
        <v>255</v>
      </c>
      <c r="C82" s="622"/>
      <c r="D82" s="88"/>
      <c r="E82" s="88">
        <v>1.35</v>
      </c>
      <c r="F82" s="88">
        <v>0</v>
      </c>
      <c r="G82" s="88">
        <v>10201.8</v>
      </c>
      <c r="H82" s="194">
        <f>H83+H84</f>
        <v>0</v>
      </c>
      <c r="I82" s="88">
        <f>I83+I84</f>
        <v>0</v>
      </c>
      <c r="J82" s="88">
        <f>J83+J84+J85</f>
        <v>10000</v>
      </c>
      <c r="K82" s="88">
        <f>K83+K84+K85</f>
        <v>2.7</v>
      </c>
      <c r="L82" s="88">
        <f>L83+L84+L85</f>
        <v>0</v>
      </c>
      <c r="M82" s="88">
        <f>M83+M84+M85</f>
        <v>21575.9</v>
      </c>
    </row>
    <row r="83" spans="2:13" ht="12.75" hidden="1">
      <c r="B83" s="467" t="s">
        <v>203</v>
      </c>
      <c r="C83" s="654"/>
      <c r="D83" s="199"/>
      <c r="E83" s="199"/>
      <c r="F83" s="133"/>
      <c r="G83" s="133"/>
      <c r="H83" s="454"/>
      <c r="I83" s="133"/>
      <c r="J83" s="95">
        <f>15000-5000</f>
        <v>10000</v>
      </c>
      <c r="K83" s="133"/>
      <c r="L83" s="133"/>
      <c r="M83" s="133"/>
    </row>
    <row r="84" spans="1:13" ht="12.75">
      <c r="A84" s="77" t="s">
        <v>124</v>
      </c>
      <c r="B84" s="467" t="s">
        <v>256</v>
      </c>
      <c r="C84" s="634" t="s">
        <v>250</v>
      </c>
      <c r="D84" s="97"/>
      <c r="E84" s="97">
        <v>1.35</v>
      </c>
      <c r="F84" s="97">
        <v>0</v>
      </c>
      <c r="G84" s="97">
        <v>10201.8</v>
      </c>
      <c r="H84" s="445"/>
      <c r="I84" s="97"/>
      <c r="J84" s="97"/>
      <c r="K84" s="793">
        <f>2.7-2.7</f>
        <v>0</v>
      </c>
      <c r="L84" s="97"/>
      <c r="M84" s="97">
        <f>21575.9-21575.9</f>
        <v>0</v>
      </c>
    </row>
    <row r="85" spans="2:13" ht="12.75" hidden="1">
      <c r="B85" s="470" t="s">
        <v>5</v>
      </c>
      <c r="C85" s="516"/>
      <c r="D85" s="98"/>
      <c r="E85" s="98"/>
      <c r="F85" s="98"/>
      <c r="G85" s="98"/>
      <c r="H85" s="443"/>
      <c r="I85" s="98"/>
      <c r="J85" s="98"/>
      <c r="K85" s="278">
        <v>2.7</v>
      </c>
      <c r="L85" s="98"/>
      <c r="M85" s="98">
        <v>21575.9</v>
      </c>
    </row>
    <row r="86" spans="2:13" ht="14.25">
      <c r="B86" s="466" t="s">
        <v>123</v>
      </c>
      <c r="C86" s="655"/>
      <c r="D86" s="91"/>
      <c r="E86" s="88">
        <v>0.86</v>
      </c>
      <c r="F86" s="88">
        <v>24053.5</v>
      </c>
      <c r="G86" s="88">
        <v>0</v>
      </c>
      <c r="H86" s="455"/>
      <c r="I86" s="91"/>
      <c r="J86" s="91"/>
      <c r="K86" s="91"/>
      <c r="L86" s="89">
        <f>SUM(L87:L87)</f>
        <v>0</v>
      </c>
      <c r="M86" s="88">
        <f>M87</f>
        <v>0</v>
      </c>
    </row>
    <row r="87" spans="1:13" ht="12.75">
      <c r="A87" s="77" t="s">
        <v>124</v>
      </c>
      <c r="B87" s="484" t="s">
        <v>479</v>
      </c>
      <c r="C87" s="627" t="s">
        <v>121</v>
      </c>
      <c r="D87" s="190"/>
      <c r="E87" s="657">
        <v>0.86</v>
      </c>
      <c r="F87" s="658">
        <v>24053.5</v>
      </c>
      <c r="G87" s="91">
        <v>0</v>
      </c>
      <c r="H87" s="455"/>
      <c r="I87" s="91"/>
      <c r="J87" s="91"/>
      <c r="K87" s="91"/>
      <c r="L87" s="91"/>
      <c r="M87" s="91"/>
    </row>
    <row r="88" spans="2:13" ht="14.25">
      <c r="B88" s="466" t="s">
        <v>128</v>
      </c>
      <c r="C88" s="639"/>
      <c r="D88" s="91"/>
      <c r="E88" s="89">
        <v>1</v>
      </c>
      <c r="F88" s="89">
        <v>0</v>
      </c>
      <c r="G88" s="89">
        <v>11000</v>
      </c>
      <c r="H88" s="456">
        <f aca="true" t="shared" si="13" ref="H88:M88">H89</f>
        <v>2</v>
      </c>
      <c r="I88" s="89">
        <f t="shared" si="13"/>
        <v>0</v>
      </c>
      <c r="J88" s="89">
        <f t="shared" si="13"/>
        <v>24727.6</v>
      </c>
      <c r="K88" s="89">
        <f t="shared" si="13"/>
        <v>0</v>
      </c>
      <c r="L88" s="89">
        <f t="shared" si="13"/>
        <v>0</v>
      </c>
      <c r="M88" s="89">
        <f t="shared" si="13"/>
        <v>0</v>
      </c>
    </row>
    <row r="89" spans="1:13" ht="12.75">
      <c r="A89" s="77" t="s">
        <v>124</v>
      </c>
      <c r="B89" s="484" t="s">
        <v>258</v>
      </c>
      <c r="C89" s="638" t="s">
        <v>115</v>
      </c>
      <c r="D89" s="190"/>
      <c r="E89" s="263">
        <v>1</v>
      </c>
      <c r="F89" s="263">
        <v>0</v>
      </c>
      <c r="G89" s="263">
        <v>11000</v>
      </c>
      <c r="H89" s="457">
        <v>2</v>
      </c>
      <c r="I89" s="91"/>
      <c r="J89" s="91">
        <v>24727.6</v>
      </c>
      <c r="K89" s="91"/>
      <c r="L89" s="91"/>
      <c r="M89" s="91"/>
    </row>
    <row r="90" spans="2:13" ht="14.25">
      <c r="B90" s="466" t="s">
        <v>259</v>
      </c>
      <c r="C90" s="622"/>
      <c r="D90" s="88"/>
      <c r="E90" s="88">
        <v>4.3</v>
      </c>
      <c r="F90" s="88">
        <v>0</v>
      </c>
      <c r="G90" s="88">
        <v>51600</v>
      </c>
      <c r="H90" s="194">
        <f aca="true" t="shared" si="14" ref="H90:M90">SUM(H91:H94)</f>
        <v>7</v>
      </c>
      <c r="I90" s="88">
        <f t="shared" si="14"/>
        <v>70000</v>
      </c>
      <c r="J90" s="88">
        <f t="shared" si="14"/>
        <v>21600</v>
      </c>
      <c r="K90" s="88">
        <f t="shared" si="14"/>
        <v>11</v>
      </c>
      <c r="L90" s="88">
        <f t="shared" si="14"/>
        <v>0</v>
      </c>
      <c r="M90" s="88">
        <f t="shared" si="14"/>
        <v>125523.9</v>
      </c>
    </row>
    <row r="91" spans="1:13" ht="12.75" hidden="1">
      <c r="A91" s="77" t="s">
        <v>124</v>
      </c>
      <c r="B91" s="485" t="s">
        <v>260</v>
      </c>
      <c r="C91" s="626" t="s">
        <v>121</v>
      </c>
      <c r="D91" s="133"/>
      <c r="E91" s="133"/>
      <c r="F91" s="133"/>
      <c r="G91" s="133"/>
      <c r="H91" s="195">
        <v>5.2</v>
      </c>
      <c r="I91" s="134">
        <v>60000</v>
      </c>
      <c r="J91" s="133"/>
      <c r="K91" s="134"/>
      <c r="L91" s="134"/>
      <c r="M91" s="133"/>
    </row>
    <row r="92" spans="1:13" ht="12.75">
      <c r="A92" s="77" t="s">
        <v>124</v>
      </c>
      <c r="B92" s="486" t="s">
        <v>261</v>
      </c>
      <c r="C92" s="623" t="s">
        <v>115</v>
      </c>
      <c r="D92" s="185"/>
      <c r="E92" s="97">
        <v>4.3</v>
      </c>
      <c r="F92" s="97">
        <v>0</v>
      </c>
      <c r="G92" s="97">
        <v>51600</v>
      </c>
      <c r="H92" s="445">
        <v>1.8</v>
      </c>
      <c r="I92" s="97"/>
      <c r="J92" s="97">
        <v>21600</v>
      </c>
      <c r="K92" s="97">
        <v>9</v>
      </c>
      <c r="L92" s="97"/>
      <c r="M92" s="97">
        <v>108000</v>
      </c>
    </row>
    <row r="93" spans="1:13" ht="12.75" hidden="1">
      <c r="A93" s="77" t="s">
        <v>124</v>
      </c>
      <c r="B93" s="486" t="s">
        <v>262</v>
      </c>
      <c r="C93" s="623" t="s">
        <v>115</v>
      </c>
      <c r="D93" s="185"/>
      <c r="E93" s="185"/>
      <c r="F93" s="185"/>
      <c r="G93" s="185"/>
      <c r="H93" s="196"/>
      <c r="I93" s="185"/>
      <c r="J93" s="97"/>
      <c r="K93" s="178">
        <v>2</v>
      </c>
      <c r="L93" s="185"/>
      <c r="M93" s="97">
        <v>17523.9</v>
      </c>
    </row>
    <row r="94" spans="1:13" ht="12.75" hidden="1">
      <c r="A94" s="77" t="s">
        <v>117</v>
      </c>
      <c r="B94" s="479" t="s">
        <v>31</v>
      </c>
      <c r="C94" s="627"/>
      <c r="D94" s="136"/>
      <c r="E94" s="136"/>
      <c r="F94" s="136"/>
      <c r="G94" s="136"/>
      <c r="H94" s="453" t="s">
        <v>32</v>
      </c>
      <c r="I94" s="191">
        <v>10000</v>
      </c>
      <c r="J94" s="136"/>
      <c r="K94" s="191"/>
      <c r="L94" s="191"/>
      <c r="M94" s="136"/>
    </row>
    <row r="95" spans="2:13" ht="14.25" customHeight="1">
      <c r="B95" s="466" t="s">
        <v>263</v>
      </c>
      <c r="C95" s="622"/>
      <c r="D95" s="88"/>
      <c r="E95" s="88">
        <v>2.27</v>
      </c>
      <c r="F95" s="88">
        <v>9878.6</v>
      </c>
      <c r="G95" s="88">
        <v>5502</v>
      </c>
      <c r="H95" s="194">
        <f aca="true" t="shared" si="15" ref="H95:M95">SUM(H96:H98)</f>
        <v>1.2</v>
      </c>
      <c r="I95" s="88">
        <f t="shared" si="15"/>
        <v>0</v>
      </c>
      <c r="J95" s="88">
        <f t="shared" si="15"/>
        <v>20464.5</v>
      </c>
      <c r="K95" s="88">
        <f t="shared" si="15"/>
        <v>1.5</v>
      </c>
      <c r="L95" s="88">
        <f t="shared" si="15"/>
        <v>20000</v>
      </c>
      <c r="M95" s="88">
        <f t="shared" si="15"/>
        <v>0</v>
      </c>
    </row>
    <row r="96" spans="1:13" ht="24">
      <c r="A96" s="77" t="s">
        <v>124</v>
      </c>
      <c r="B96" s="485" t="s">
        <v>264</v>
      </c>
      <c r="C96" s="626" t="s">
        <v>115</v>
      </c>
      <c r="D96" s="170"/>
      <c r="E96" s="95">
        <v>1.67</v>
      </c>
      <c r="F96" s="95">
        <v>9878.6</v>
      </c>
      <c r="G96" s="192">
        <v>0</v>
      </c>
      <c r="H96" s="448"/>
      <c r="I96" s="95"/>
      <c r="J96" s="192"/>
      <c r="K96" s="279">
        <v>1.5</v>
      </c>
      <c r="L96" s="279">
        <v>20000</v>
      </c>
      <c r="M96" s="192"/>
    </row>
    <row r="97" spans="1:13" ht="24">
      <c r="A97" s="77" t="s">
        <v>124</v>
      </c>
      <c r="B97" s="486" t="s">
        <v>265</v>
      </c>
      <c r="C97" s="623" t="s">
        <v>121</v>
      </c>
      <c r="D97" s="193"/>
      <c r="E97" s="97">
        <v>0.6</v>
      </c>
      <c r="F97" s="97">
        <v>0</v>
      </c>
      <c r="G97" s="97">
        <v>5502</v>
      </c>
      <c r="H97" s="193">
        <v>1.2</v>
      </c>
      <c r="I97" s="172"/>
      <c r="J97" s="97">
        <v>10464.5</v>
      </c>
      <c r="K97" s="172"/>
      <c r="L97" s="172"/>
      <c r="M97" s="97"/>
    </row>
    <row r="98" spans="1:13" ht="24" hidden="1">
      <c r="A98" s="77" t="s">
        <v>117</v>
      </c>
      <c r="B98" s="479" t="s">
        <v>33</v>
      </c>
      <c r="C98" s="627"/>
      <c r="D98" s="174"/>
      <c r="E98" s="98"/>
      <c r="F98" s="98"/>
      <c r="G98" s="283"/>
      <c r="H98" s="443" t="s">
        <v>34</v>
      </c>
      <c r="I98" s="98"/>
      <c r="J98" s="191">
        <v>10000</v>
      </c>
      <c r="K98" s="98"/>
      <c r="L98" s="98"/>
      <c r="M98" s="283"/>
    </row>
    <row r="99" spans="2:13" ht="14.25">
      <c r="B99" s="466" t="s">
        <v>267</v>
      </c>
      <c r="C99" s="622"/>
      <c r="D99" s="194"/>
      <c r="E99" s="88">
        <v>3.5</v>
      </c>
      <c r="F99" s="88">
        <v>0</v>
      </c>
      <c r="G99" s="88">
        <v>27775.8</v>
      </c>
      <c r="H99" s="194">
        <f>SUM(H100:H102)</f>
        <v>6.9</v>
      </c>
      <c r="I99" s="88">
        <f>I100+I102</f>
        <v>0</v>
      </c>
      <c r="J99" s="88">
        <f>SUM(J100:J102)</f>
        <v>41277.8</v>
      </c>
      <c r="K99" s="88">
        <f>K100+K102</f>
        <v>4.5</v>
      </c>
      <c r="L99" s="88">
        <f>L100+L102</f>
        <v>0</v>
      </c>
      <c r="M99" s="88">
        <f>M100+M102</f>
        <v>39997</v>
      </c>
    </row>
    <row r="100" spans="1:13" ht="12.75">
      <c r="A100" s="77" t="s">
        <v>124</v>
      </c>
      <c r="B100" s="487" t="s">
        <v>269</v>
      </c>
      <c r="C100" s="633" t="s">
        <v>115</v>
      </c>
      <c r="D100" s="195"/>
      <c r="E100" s="134">
        <v>3.5</v>
      </c>
      <c r="F100" s="134">
        <v>0</v>
      </c>
      <c r="G100" s="134">
        <v>27775.8</v>
      </c>
      <c r="H100" s="195"/>
      <c r="I100" s="134"/>
      <c r="J100" s="134"/>
      <c r="K100" s="134"/>
      <c r="L100" s="134"/>
      <c r="M100" s="134"/>
    </row>
    <row r="101" spans="2:13" ht="12.75" hidden="1">
      <c r="B101" s="488" t="s">
        <v>394</v>
      </c>
      <c r="C101" s="281" t="s">
        <v>115</v>
      </c>
      <c r="D101" s="663"/>
      <c r="E101" s="198"/>
      <c r="F101" s="198"/>
      <c r="G101" s="198"/>
      <c r="H101" s="423">
        <v>3.9</v>
      </c>
      <c r="I101" s="235"/>
      <c r="J101" s="235">
        <f>18000+12277.8-10000</f>
        <v>20277.8</v>
      </c>
      <c r="K101" s="198"/>
      <c r="L101" s="198"/>
      <c r="M101" s="198"/>
    </row>
    <row r="102" spans="1:13" ht="12.75" hidden="1">
      <c r="A102" s="77" t="s">
        <v>124</v>
      </c>
      <c r="B102" s="489" t="s">
        <v>331</v>
      </c>
      <c r="C102" s="516" t="s">
        <v>115</v>
      </c>
      <c r="D102" s="665"/>
      <c r="E102" s="665"/>
      <c r="F102" s="665"/>
      <c r="G102" s="665"/>
      <c r="H102" s="415">
        <v>3</v>
      </c>
      <c r="I102" s="206"/>
      <c r="J102" s="206">
        <v>21000</v>
      </c>
      <c r="K102" s="191">
        <v>4.5</v>
      </c>
      <c r="L102" s="191"/>
      <c r="M102" s="191">
        <v>39997</v>
      </c>
    </row>
    <row r="103" spans="2:13" ht="14.25">
      <c r="B103" s="466" t="s">
        <v>270</v>
      </c>
      <c r="C103" s="622"/>
      <c r="D103" s="194"/>
      <c r="E103" s="88">
        <v>1.65</v>
      </c>
      <c r="F103" s="88">
        <v>77707.9</v>
      </c>
      <c r="G103" s="88">
        <v>12000</v>
      </c>
      <c r="H103" s="194">
        <f aca="true" t="shared" si="16" ref="H103:M103">SUM(H104:H106)</f>
        <v>0</v>
      </c>
      <c r="I103" s="88">
        <f t="shared" si="16"/>
        <v>0</v>
      </c>
      <c r="J103" s="88">
        <f t="shared" si="16"/>
        <v>0</v>
      </c>
      <c r="K103" s="88">
        <f t="shared" si="16"/>
        <v>4.1</v>
      </c>
      <c r="L103" s="88">
        <f t="shared" si="16"/>
        <v>95085.9</v>
      </c>
      <c r="M103" s="88">
        <f t="shared" si="16"/>
        <v>6000</v>
      </c>
    </row>
    <row r="104" spans="1:13" ht="12.75">
      <c r="A104" s="77" t="s">
        <v>124</v>
      </c>
      <c r="B104" s="485" t="s">
        <v>139</v>
      </c>
      <c r="C104" s="666" t="s">
        <v>121</v>
      </c>
      <c r="D104" s="667"/>
      <c r="E104" s="795">
        <v>0.85</v>
      </c>
      <c r="F104" s="195">
        <v>29757.5</v>
      </c>
      <c r="G104" s="133">
        <v>0</v>
      </c>
      <c r="H104" s="454"/>
      <c r="I104" s="134"/>
      <c r="J104" s="133"/>
      <c r="K104" s="195">
        <f>3.5-1.1</f>
        <v>2.4</v>
      </c>
      <c r="L104" s="134">
        <f>52000-16914.1</f>
        <v>35085.9</v>
      </c>
      <c r="M104" s="134"/>
    </row>
    <row r="105" spans="1:13" ht="12.75">
      <c r="A105" s="77" t="s">
        <v>124</v>
      </c>
      <c r="B105" s="467" t="s">
        <v>203</v>
      </c>
      <c r="C105" s="668"/>
      <c r="D105" s="196"/>
      <c r="E105" s="178">
        <v>0</v>
      </c>
      <c r="F105" s="178">
        <v>17950.4</v>
      </c>
      <c r="G105" s="178">
        <v>12000</v>
      </c>
      <c r="H105" s="196"/>
      <c r="I105" s="178"/>
      <c r="J105" s="178"/>
      <c r="K105" s="178"/>
      <c r="L105" s="178"/>
      <c r="M105" s="178">
        <v>6000</v>
      </c>
    </row>
    <row r="106" spans="1:13" ht="12.75">
      <c r="A106" s="77" t="s">
        <v>124</v>
      </c>
      <c r="B106" s="490" t="s">
        <v>271</v>
      </c>
      <c r="C106" s="668" t="s">
        <v>121</v>
      </c>
      <c r="D106" s="196"/>
      <c r="E106" s="796">
        <v>0.8</v>
      </c>
      <c r="F106" s="797">
        <v>30000</v>
      </c>
      <c r="G106" s="178">
        <v>0</v>
      </c>
      <c r="H106" s="196"/>
      <c r="I106" s="178"/>
      <c r="J106" s="178"/>
      <c r="K106" s="178">
        <v>1.7</v>
      </c>
      <c r="L106" s="178">
        <v>60000</v>
      </c>
      <c r="M106" s="178"/>
    </row>
    <row r="107" spans="2:13" ht="15" customHeight="1">
      <c r="B107" s="466" t="s">
        <v>273</v>
      </c>
      <c r="C107" s="622"/>
      <c r="D107" s="88"/>
      <c r="E107" s="88">
        <v>1.7</v>
      </c>
      <c r="F107" s="88">
        <v>0</v>
      </c>
      <c r="G107" s="88">
        <v>13532.5</v>
      </c>
      <c r="H107" s="194">
        <f aca="true" t="shared" si="17" ref="H107:M107">SUM(H108:H110)</f>
        <v>2.16</v>
      </c>
      <c r="I107" s="88">
        <f t="shared" si="17"/>
        <v>0</v>
      </c>
      <c r="J107" s="88">
        <f t="shared" si="17"/>
        <v>48399.1</v>
      </c>
      <c r="K107" s="88">
        <f t="shared" si="17"/>
        <v>2</v>
      </c>
      <c r="L107" s="88">
        <f t="shared" si="17"/>
        <v>0</v>
      </c>
      <c r="M107" s="88">
        <f t="shared" si="17"/>
        <v>27910.2</v>
      </c>
    </row>
    <row r="108" spans="1:13" ht="24" hidden="1">
      <c r="A108" s="77" t="s">
        <v>117</v>
      </c>
      <c r="B108" s="486" t="s">
        <v>274</v>
      </c>
      <c r="C108" s="666"/>
      <c r="D108" s="97"/>
      <c r="E108" s="97"/>
      <c r="F108" s="133"/>
      <c r="G108" s="134"/>
      <c r="H108" s="195" t="s">
        <v>35</v>
      </c>
      <c r="I108" s="133"/>
      <c r="J108" s="134">
        <v>18000</v>
      </c>
      <c r="K108" s="133"/>
      <c r="L108" s="133"/>
      <c r="M108" s="133"/>
    </row>
    <row r="109" spans="1:13" ht="12.75" hidden="1">
      <c r="A109" s="77" t="s">
        <v>124</v>
      </c>
      <c r="B109" s="486" t="s">
        <v>275</v>
      </c>
      <c r="C109" s="668" t="s">
        <v>121</v>
      </c>
      <c r="D109" s="197"/>
      <c r="E109" s="199"/>
      <c r="F109" s="199"/>
      <c r="G109" s="199"/>
      <c r="H109" s="458">
        <v>2.16</v>
      </c>
      <c r="I109" s="199"/>
      <c r="J109" s="198">
        <v>30399.1</v>
      </c>
      <c r="K109" s="198">
        <v>2</v>
      </c>
      <c r="L109" s="199"/>
      <c r="M109" s="198">
        <v>27910.2</v>
      </c>
    </row>
    <row r="110" spans="1:13" ht="18.75" customHeight="1">
      <c r="A110" s="77" t="s">
        <v>124</v>
      </c>
      <c r="B110" s="486" t="s">
        <v>276</v>
      </c>
      <c r="C110" s="668" t="s">
        <v>115</v>
      </c>
      <c r="D110" s="196"/>
      <c r="E110" s="178">
        <v>1.7</v>
      </c>
      <c r="F110" s="178">
        <v>0</v>
      </c>
      <c r="G110" s="178">
        <v>13532.5</v>
      </c>
      <c r="H110" s="196"/>
      <c r="I110" s="178"/>
      <c r="J110" s="178"/>
      <c r="K110" s="178"/>
      <c r="L110" s="178"/>
      <c r="M110" s="178"/>
    </row>
    <row r="111" spans="2:13" ht="18" customHeight="1" hidden="1">
      <c r="B111" s="466" t="s">
        <v>129</v>
      </c>
      <c r="C111" s="88"/>
      <c r="D111" s="88"/>
      <c r="E111" s="88">
        <v>0</v>
      </c>
      <c r="F111" s="88">
        <v>0</v>
      </c>
      <c r="G111" s="88">
        <v>0</v>
      </c>
      <c r="H111" s="194">
        <f>H112+H113</f>
        <v>4.45</v>
      </c>
      <c r="I111" s="88">
        <f>I112+I113</f>
        <v>0</v>
      </c>
      <c r="J111" s="88">
        <f>J112+J113</f>
        <v>33089.3</v>
      </c>
      <c r="K111" s="88">
        <f>K112+K113</f>
        <v>2.9</v>
      </c>
      <c r="L111" s="88">
        <f>SUM(L112:L113)</f>
        <v>30380.2</v>
      </c>
      <c r="M111" s="88">
        <f>SUM(M112:M113)</f>
        <v>0</v>
      </c>
    </row>
    <row r="112" spans="1:13" ht="57.75" customHeight="1" hidden="1">
      <c r="A112" s="77" t="s">
        <v>124</v>
      </c>
      <c r="B112" s="491" t="s">
        <v>397</v>
      </c>
      <c r="C112" s="671" t="s">
        <v>115</v>
      </c>
      <c r="D112" s="672"/>
      <c r="E112" s="285"/>
      <c r="F112" s="285"/>
      <c r="G112" s="285"/>
      <c r="H112" s="459">
        <v>4.45</v>
      </c>
      <c r="I112" s="286"/>
      <c r="J112" s="286">
        <v>33089.3</v>
      </c>
      <c r="K112" s="285"/>
      <c r="L112" s="285"/>
      <c r="M112" s="285"/>
    </row>
    <row r="113" spans="1:13" ht="24" hidden="1">
      <c r="A113" s="77" t="s">
        <v>124</v>
      </c>
      <c r="B113" s="489" t="s">
        <v>333</v>
      </c>
      <c r="C113" s="673" t="s">
        <v>121</v>
      </c>
      <c r="D113" s="674"/>
      <c r="E113" s="282"/>
      <c r="F113" s="282"/>
      <c r="G113" s="282"/>
      <c r="H113" s="460"/>
      <c r="I113" s="282"/>
      <c r="J113" s="282"/>
      <c r="K113" s="282">
        <v>2.9</v>
      </c>
      <c r="L113" s="284">
        <v>30380.2</v>
      </c>
      <c r="M113" s="284"/>
    </row>
    <row r="114" spans="2:13" ht="15" customHeight="1">
      <c r="B114" s="466" t="s">
        <v>277</v>
      </c>
      <c r="C114" s="675"/>
      <c r="D114" s="676"/>
      <c r="E114" s="89">
        <v>0.5</v>
      </c>
      <c r="F114" s="89">
        <v>8859.9</v>
      </c>
      <c r="G114" s="89">
        <v>0</v>
      </c>
      <c r="H114" s="456">
        <f aca="true" t="shared" si="18" ref="H114:M114">SUM(H115:H118)</f>
        <v>7.9</v>
      </c>
      <c r="I114" s="89">
        <f t="shared" si="18"/>
        <v>30000</v>
      </c>
      <c r="J114" s="89">
        <f t="shared" si="18"/>
        <v>38362.1</v>
      </c>
      <c r="K114" s="89">
        <f t="shared" si="18"/>
        <v>3.5</v>
      </c>
      <c r="L114" s="89">
        <f t="shared" si="18"/>
        <v>0</v>
      </c>
      <c r="M114" s="89">
        <f t="shared" si="18"/>
        <v>35221.305</v>
      </c>
    </row>
    <row r="115" spans="1:13" ht="12.75">
      <c r="A115" s="77" t="s">
        <v>124</v>
      </c>
      <c r="B115" s="492" t="s">
        <v>278</v>
      </c>
      <c r="C115" s="678" t="s">
        <v>121</v>
      </c>
      <c r="D115" s="3"/>
      <c r="E115" s="204">
        <v>0.5</v>
      </c>
      <c r="F115" s="204">
        <v>4859.9</v>
      </c>
      <c r="G115" s="205">
        <v>0</v>
      </c>
      <c r="H115" s="417">
        <v>3.5</v>
      </c>
      <c r="I115" s="204">
        <v>30000</v>
      </c>
      <c r="J115" s="203"/>
      <c r="K115" s="204"/>
      <c r="L115" s="204"/>
      <c r="M115" s="203"/>
    </row>
    <row r="116" spans="1:13" ht="12.75">
      <c r="A116" s="77" t="s">
        <v>124</v>
      </c>
      <c r="B116" s="492" t="s">
        <v>203</v>
      </c>
      <c r="C116" s="678"/>
      <c r="D116" s="3"/>
      <c r="E116" s="203">
        <v>0</v>
      </c>
      <c r="F116" s="204">
        <v>4000</v>
      </c>
      <c r="G116" s="203">
        <v>0</v>
      </c>
      <c r="H116" s="411"/>
      <c r="I116" s="203"/>
      <c r="J116" s="203"/>
      <c r="K116" s="203"/>
      <c r="L116" s="203"/>
      <c r="M116" s="203">
        <v>7426.3</v>
      </c>
    </row>
    <row r="117" spans="1:13" ht="12.75" hidden="1">
      <c r="A117" s="77" t="s">
        <v>124</v>
      </c>
      <c r="B117" s="493" t="s">
        <v>218</v>
      </c>
      <c r="C117" s="678" t="s">
        <v>115</v>
      </c>
      <c r="D117" s="3"/>
      <c r="E117" s="203"/>
      <c r="F117" s="178"/>
      <c r="G117" s="203"/>
      <c r="H117" s="411"/>
      <c r="I117" s="203"/>
      <c r="J117" s="203"/>
      <c r="K117" s="203">
        <v>3.5</v>
      </c>
      <c r="L117" s="203"/>
      <c r="M117" s="203">
        <v>27795.005</v>
      </c>
    </row>
    <row r="118" spans="1:13" ht="36" customHeight="1" hidden="1">
      <c r="A118" s="77" t="s">
        <v>124</v>
      </c>
      <c r="B118" s="494" t="s">
        <v>279</v>
      </c>
      <c r="C118" s="681" t="s">
        <v>121</v>
      </c>
      <c r="D118" s="128"/>
      <c r="E118" s="206"/>
      <c r="F118" s="191"/>
      <c r="G118" s="206"/>
      <c r="H118" s="415">
        <v>4.4</v>
      </c>
      <c r="I118" s="206"/>
      <c r="J118" s="206">
        <v>38362.1</v>
      </c>
      <c r="K118" s="206"/>
      <c r="L118" s="206"/>
      <c r="M118" s="206"/>
    </row>
    <row r="119" spans="2:13" ht="13.5" customHeight="1">
      <c r="B119" s="466" t="s">
        <v>280</v>
      </c>
      <c r="C119" s="682"/>
      <c r="D119" s="89"/>
      <c r="E119" s="89">
        <v>0.96</v>
      </c>
      <c r="F119" s="89">
        <v>0</v>
      </c>
      <c r="G119" s="89">
        <v>27677.8</v>
      </c>
      <c r="H119" s="456">
        <f aca="true" t="shared" si="19" ref="H119:M119">SUM(H120:H124)</f>
        <v>2.58</v>
      </c>
      <c r="I119" s="89">
        <f t="shared" si="19"/>
        <v>0</v>
      </c>
      <c r="J119" s="89">
        <f t="shared" si="19"/>
        <v>19512.9</v>
      </c>
      <c r="K119" s="89">
        <f t="shared" si="19"/>
        <v>2.4</v>
      </c>
      <c r="L119" s="89">
        <f t="shared" si="19"/>
        <v>2500</v>
      </c>
      <c r="M119" s="89">
        <f t="shared" si="19"/>
        <v>23915.3</v>
      </c>
    </row>
    <row r="120" spans="1:13" ht="24" hidden="1">
      <c r="A120" s="77" t="s">
        <v>117</v>
      </c>
      <c r="B120" s="495" t="s">
        <v>281</v>
      </c>
      <c r="C120" s="684"/>
      <c r="D120" s="207"/>
      <c r="E120" s="207"/>
      <c r="F120" s="207"/>
      <c r="G120" s="207"/>
      <c r="H120" s="445"/>
      <c r="I120" s="207"/>
      <c r="J120" s="134"/>
      <c r="K120" s="97" t="s">
        <v>36</v>
      </c>
      <c r="L120" s="207"/>
      <c r="M120" s="134">
        <v>8500</v>
      </c>
    </row>
    <row r="121" spans="1:13" ht="12.75">
      <c r="A121" s="77" t="s">
        <v>117</v>
      </c>
      <c r="B121" s="492" t="s">
        <v>283</v>
      </c>
      <c r="C121" s="131"/>
      <c r="D121" s="178" t="s">
        <v>36</v>
      </c>
      <c r="E121" s="208">
        <v>0</v>
      </c>
      <c r="F121" s="208">
        <v>0</v>
      </c>
      <c r="G121" s="178">
        <v>14748.5</v>
      </c>
      <c r="H121" s="461"/>
      <c r="I121" s="208"/>
      <c r="J121" s="178"/>
      <c r="K121" s="208"/>
      <c r="L121" s="208"/>
      <c r="M121" s="178"/>
    </row>
    <row r="122" spans="1:13" ht="12.75">
      <c r="A122" s="77" t="s">
        <v>124</v>
      </c>
      <c r="B122" s="492" t="s">
        <v>285</v>
      </c>
      <c r="C122" s="131" t="s">
        <v>121</v>
      </c>
      <c r="D122" s="204"/>
      <c r="E122" s="178">
        <v>0.96</v>
      </c>
      <c r="F122" s="178">
        <v>0</v>
      </c>
      <c r="G122" s="178">
        <v>8171.3</v>
      </c>
      <c r="H122" s="417"/>
      <c r="I122" s="204"/>
      <c r="J122" s="204"/>
      <c r="K122" s="204"/>
      <c r="L122" s="204"/>
      <c r="M122" s="204"/>
    </row>
    <row r="123" spans="1:13" ht="12.75" hidden="1">
      <c r="A123" s="77" t="s">
        <v>124</v>
      </c>
      <c r="B123" s="492" t="s">
        <v>286</v>
      </c>
      <c r="C123" s="678" t="s">
        <v>115</v>
      </c>
      <c r="D123" s="204"/>
      <c r="E123" s="178">
        <v>0</v>
      </c>
      <c r="F123" s="178">
        <v>0</v>
      </c>
      <c r="G123" s="178">
        <v>0</v>
      </c>
      <c r="H123" s="417">
        <v>2.58</v>
      </c>
      <c r="I123" s="204"/>
      <c r="J123" s="204">
        <v>19512.9</v>
      </c>
      <c r="K123" s="204">
        <v>2.4</v>
      </c>
      <c r="L123" s="204"/>
      <c r="M123" s="204">
        <f>17915.3-5000</f>
        <v>12915.3</v>
      </c>
    </row>
    <row r="124" spans="1:13" ht="12.75">
      <c r="A124" s="77" t="s">
        <v>124</v>
      </c>
      <c r="B124" s="494" t="s">
        <v>203</v>
      </c>
      <c r="C124" s="514"/>
      <c r="D124" s="209"/>
      <c r="E124" s="209">
        <v>0</v>
      </c>
      <c r="F124" s="191">
        <v>0</v>
      </c>
      <c r="G124" s="191">
        <v>4758</v>
      </c>
      <c r="H124" s="419"/>
      <c r="I124" s="209"/>
      <c r="J124" s="209"/>
      <c r="K124" s="209"/>
      <c r="L124" s="209">
        <v>2500</v>
      </c>
      <c r="M124" s="209">
        <v>2500</v>
      </c>
    </row>
    <row r="125" spans="2:13" ht="18" customHeight="1">
      <c r="B125" s="466" t="s">
        <v>287</v>
      </c>
      <c r="C125" s="682"/>
      <c r="D125" s="89"/>
      <c r="E125" s="89">
        <v>1.783</v>
      </c>
      <c r="F125" s="89">
        <v>0</v>
      </c>
      <c r="G125" s="89">
        <v>18018.6</v>
      </c>
      <c r="H125" s="456">
        <f aca="true" t="shared" si="20" ref="H125:M125">SUM(H126:H127)</f>
        <v>4</v>
      </c>
      <c r="I125" s="89">
        <f t="shared" si="20"/>
        <v>0</v>
      </c>
      <c r="J125" s="89">
        <f t="shared" si="20"/>
        <v>28144.9</v>
      </c>
      <c r="K125" s="89">
        <f t="shared" si="20"/>
        <v>2.26</v>
      </c>
      <c r="L125" s="89">
        <f t="shared" si="20"/>
        <v>0</v>
      </c>
      <c r="M125" s="89">
        <f t="shared" si="20"/>
        <v>25840.7</v>
      </c>
    </row>
    <row r="126" spans="1:13" ht="12.75">
      <c r="A126" s="77" t="s">
        <v>124</v>
      </c>
      <c r="B126" s="485" t="s">
        <v>288</v>
      </c>
      <c r="C126" s="633" t="s">
        <v>115</v>
      </c>
      <c r="D126" s="134"/>
      <c r="E126" s="134">
        <v>1.783</v>
      </c>
      <c r="F126" s="134">
        <v>0</v>
      </c>
      <c r="G126" s="134">
        <v>18018.6</v>
      </c>
      <c r="H126" s="195"/>
      <c r="I126" s="134"/>
      <c r="J126" s="134"/>
      <c r="K126" s="287">
        <v>2.26</v>
      </c>
      <c r="L126" s="287"/>
      <c r="M126" s="287">
        <v>25840.7</v>
      </c>
    </row>
    <row r="127" spans="1:13" ht="24" hidden="1">
      <c r="A127" s="77" t="s">
        <v>124</v>
      </c>
      <c r="B127" s="486" t="s">
        <v>289</v>
      </c>
      <c r="C127" s="634" t="s">
        <v>115</v>
      </c>
      <c r="D127" s="685"/>
      <c r="E127" s="178"/>
      <c r="F127" s="178"/>
      <c r="G127" s="178"/>
      <c r="H127" s="196">
        <v>4</v>
      </c>
      <c r="I127" s="178"/>
      <c r="J127" s="178">
        <v>28144.9</v>
      </c>
      <c r="K127" s="178"/>
      <c r="L127" s="178"/>
      <c r="M127" s="178"/>
    </row>
    <row r="128" spans="2:13" ht="15" customHeight="1">
      <c r="B128" s="466" t="s">
        <v>290</v>
      </c>
      <c r="C128" s="622"/>
      <c r="D128" s="676"/>
      <c r="E128" s="89">
        <v>2.5</v>
      </c>
      <c r="F128" s="89">
        <v>17863.8</v>
      </c>
      <c r="G128" s="89">
        <v>9889.9</v>
      </c>
      <c r="H128" s="456">
        <f aca="true" t="shared" si="21" ref="H128:M128">SUM(H129:H131)</f>
        <v>0</v>
      </c>
      <c r="I128" s="89">
        <f t="shared" si="21"/>
        <v>0</v>
      </c>
      <c r="J128" s="89">
        <f t="shared" si="21"/>
        <v>0</v>
      </c>
      <c r="K128" s="89">
        <f t="shared" si="21"/>
        <v>0</v>
      </c>
      <c r="L128" s="89">
        <f t="shared" si="21"/>
        <v>0</v>
      </c>
      <c r="M128" s="89">
        <f t="shared" si="21"/>
        <v>15000</v>
      </c>
    </row>
    <row r="129" spans="1:13" ht="12.75">
      <c r="A129" s="77" t="s">
        <v>124</v>
      </c>
      <c r="B129" s="496" t="s">
        <v>291</v>
      </c>
      <c r="C129" s="633" t="s">
        <v>115</v>
      </c>
      <c r="D129" s="134"/>
      <c r="E129" s="134">
        <v>2.5</v>
      </c>
      <c r="F129" s="134">
        <v>17863.8</v>
      </c>
      <c r="G129" s="134">
        <v>0</v>
      </c>
      <c r="H129" s="195"/>
      <c r="I129" s="134"/>
      <c r="J129" s="134"/>
      <c r="K129" s="134"/>
      <c r="L129" s="134"/>
      <c r="M129" s="134">
        <v>15000</v>
      </c>
    </row>
    <row r="130" spans="1:13" ht="63" customHeight="1" hidden="1">
      <c r="A130" s="77" t="s">
        <v>124</v>
      </c>
      <c r="B130" s="497" t="s">
        <v>396</v>
      </c>
      <c r="C130" s="630" t="s">
        <v>115</v>
      </c>
      <c r="D130" s="201"/>
      <c r="E130" s="201">
        <v>0</v>
      </c>
      <c r="F130" s="201">
        <v>0</v>
      </c>
      <c r="G130" s="201">
        <v>0</v>
      </c>
      <c r="H130" s="462"/>
      <c r="I130" s="201"/>
      <c r="J130" s="201"/>
      <c r="K130" s="201">
        <f>2-2</f>
        <v>0</v>
      </c>
      <c r="L130" s="201"/>
      <c r="M130" s="201">
        <f>23777.6-8777.6-15000</f>
        <v>0</v>
      </c>
    </row>
    <row r="131" spans="1:13" ht="12.75">
      <c r="A131" s="77" t="s">
        <v>117</v>
      </c>
      <c r="B131" s="498" t="s">
        <v>292</v>
      </c>
      <c r="C131" s="634"/>
      <c r="D131" s="97" t="s">
        <v>272</v>
      </c>
      <c r="E131" s="97">
        <v>0</v>
      </c>
      <c r="F131" s="178">
        <v>0</v>
      </c>
      <c r="G131" s="178">
        <v>9889.9</v>
      </c>
      <c r="H131" s="196"/>
      <c r="I131" s="178"/>
      <c r="J131" s="178"/>
      <c r="K131" s="178"/>
      <c r="L131" s="178"/>
      <c r="M131" s="178"/>
    </row>
    <row r="132" spans="2:13" ht="17.25" customHeight="1">
      <c r="B132" s="499" t="s">
        <v>130</v>
      </c>
      <c r="C132" s="689">
        <v>0</v>
      </c>
      <c r="D132" s="690"/>
      <c r="E132" s="250">
        <f aca="true" t="shared" si="22" ref="E132:M132">E7+E10+E15+E19+E23+E34+E50+E52+E57+E64+E66+E76+E82+E90+E95+E99+E103+E107+E111+E114+E119+E125+E128+E29+E45+E86+E41+E88</f>
        <v>46.61300000000001</v>
      </c>
      <c r="F132" s="250">
        <f t="shared" si="22"/>
        <v>262236</v>
      </c>
      <c r="G132" s="250">
        <f t="shared" si="22"/>
        <v>422634.19999999995</v>
      </c>
      <c r="H132" s="463">
        <f>H7+H10+H15+H19+H23+H34+H50+H52+H57+H64+H66+H76+H82+H90+H95+H99+H103+H107+H111+H114+H119+H125+H128+H29+H45+H86+H41+H88</f>
        <v>80.77000000000001</v>
      </c>
      <c r="I132" s="250">
        <f>I7+I10+I15+I19+I23+I34+I50+I52+I57+I64+I66+I76+I82+I90+I95+I99+I103+I107+I111+I114+I119+I125+I128+I29+I45+I86+I41+I88</f>
        <v>221391.1</v>
      </c>
      <c r="J132" s="250">
        <f t="shared" si="22"/>
        <v>657866.7755000001</v>
      </c>
      <c r="K132" s="250">
        <f t="shared" si="22"/>
        <v>72.36</v>
      </c>
      <c r="L132" s="250">
        <f t="shared" si="22"/>
        <v>310742</v>
      </c>
      <c r="M132" s="250">
        <f t="shared" si="22"/>
        <v>738546.4049999999</v>
      </c>
    </row>
    <row r="133" spans="2:13" ht="12" customHeight="1">
      <c r="B133" s="500" t="s">
        <v>293</v>
      </c>
      <c r="C133" s="692"/>
      <c r="D133" s="133"/>
      <c r="E133" s="133"/>
      <c r="F133" s="133"/>
      <c r="G133" s="133"/>
      <c r="H133" s="454"/>
      <c r="I133" s="133"/>
      <c r="J133" s="133"/>
      <c r="K133" s="133"/>
      <c r="L133" s="133"/>
      <c r="M133" s="133"/>
    </row>
    <row r="134" spans="2:13" ht="12.75">
      <c r="B134" s="501" t="s">
        <v>294</v>
      </c>
      <c r="C134" s="694"/>
      <c r="D134" s="185"/>
      <c r="E134" s="185"/>
      <c r="F134" s="185">
        <f>500+500</f>
        <v>1000</v>
      </c>
      <c r="G134" s="185">
        <f>800+700+1500</f>
        <v>3000</v>
      </c>
      <c r="H134" s="464"/>
      <c r="I134" s="136">
        <f>500+300+900</f>
        <v>1700</v>
      </c>
      <c r="J134" s="136">
        <f>1100+700+1600</f>
        <v>3400</v>
      </c>
      <c r="K134" s="136"/>
      <c r="L134" s="136">
        <f>700+150+850</f>
        <v>1700</v>
      </c>
      <c r="M134" s="136">
        <f>1150+850+2000</f>
        <v>4000</v>
      </c>
    </row>
    <row r="135" spans="2:13" ht="12.75">
      <c r="B135" s="550" t="s">
        <v>325</v>
      </c>
      <c r="C135" s="798"/>
      <c r="D135" s="199"/>
      <c r="E135" s="136"/>
      <c r="F135" s="136"/>
      <c r="G135" s="136"/>
      <c r="H135" s="447"/>
      <c r="I135" s="265"/>
      <c r="J135" s="265"/>
      <c r="K135" s="265"/>
      <c r="L135" s="265"/>
      <c r="M135" s="265"/>
    </row>
    <row r="136" spans="2:13" ht="18.75" customHeight="1" thickBot="1">
      <c r="B136" s="502" t="s">
        <v>298</v>
      </c>
      <c r="C136" s="799">
        <v>0</v>
      </c>
      <c r="D136" s="800"/>
      <c r="E136" s="801">
        <f>SUM(E132:E135)</f>
        <v>46.61300000000001</v>
      </c>
      <c r="F136" s="800">
        <f>SUM(F132:F135)</f>
        <v>263236</v>
      </c>
      <c r="G136" s="800">
        <f>SUM(G132:G135)</f>
        <v>425634.19999999995</v>
      </c>
      <c r="H136" s="465">
        <f aca="true" t="shared" si="23" ref="H136:M136">SUM(H132:H134)</f>
        <v>80.77000000000001</v>
      </c>
      <c r="I136" s="210">
        <f t="shared" si="23"/>
        <v>223091.1</v>
      </c>
      <c r="J136" s="210">
        <f t="shared" si="23"/>
        <v>661266.7755000001</v>
      </c>
      <c r="K136" s="211">
        <f t="shared" si="23"/>
        <v>72.36</v>
      </c>
      <c r="L136" s="210">
        <f t="shared" si="23"/>
        <v>312442</v>
      </c>
      <c r="M136" s="210">
        <f t="shared" si="23"/>
        <v>742546.4049999999</v>
      </c>
    </row>
    <row r="137" spans="2:13" ht="18.75" customHeight="1">
      <c r="B137" s="110"/>
      <c r="C137" s="696"/>
      <c r="D137" s="212"/>
      <c r="E137" s="213"/>
      <c r="F137" s="212">
        <f>F136+G136</f>
        <v>688870.2</v>
      </c>
      <c r="G137" s="212"/>
      <c r="H137" s="213"/>
      <c r="I137" s="212">
        <f>I136+J136</f>
        <v>884357.8755000001</v>
      </c>
      <c r="J137" s="212"/>
      <c r="K137" s="213"/>
      <c r="L137" s="212">
        <f>L136+M136</f>
        <v>1054988.4049999998</v>
      </c>
      <c r="M137" s="212"/>
    </row>
    <row r="138" spans="2:15" ht="18.75" customHeight="1" hidden="1">
      <c r="B138" s="311" t="s">
        <v>296</v>
      </c>
      <c r="C138" s="386"/>
      <c r="D138" s="387"/>
      <c r="E138" s="389">
        <v>73.61</v>
      </c>
      <c r="F138" s="390">
        <v>386788.8</v>
      </c>
      <c r="G138" s="390">
        <v>87604.202</v>
      </c>
      <c r="H138" s="102">
        <v>129.52</v>
      </c>
      <c r="I138" s="102">
        <v>651278</v>
      </c>
      <c r="J138" s="102">
        <v>218068.2</v>
      </c>
      <c r="K138" s="244">
        <v>90.96</v>
      </c>
      <c r="L138" s="102">
        <v>447177.8</v>
      </c>
      <c r="M138" s="314">
        <v>224312</v>
      </c>
      <c r="N138" s="112"/>
      <c r="O138" s="112"/>
    </row>
    <row r="139" spans="2:15" ht="18.75" customHeight="1" hidden="1">
      <c r="B139" s="311" t="s">
        <v>295</v>
      </c>
      <c r="C139" s="386"/>
      <c r="D139" s="387"/>
      <c r="E139" s="391">
        <f>E136+E138</f>
        <v>120.22300000000001</v>
      </c>
      <c r="F139" s="391">
        <f aca="true" t="shared" si="24" ref="F139:M139">F136+F138</f>
        <v>650024.8</v>
      </c>
      <c r="G139" s="391">
        <f t="shared" si="24"/>
        <v>513238.40199999994</v>
      </c>
      <c r="H139" s="315">
        <f t="shared" si="24"/>
        <v>210.29000000000002</v>
      </c>
      <c r="I139" s="313">
        <f t="shared" si="24"/>
        <v>874369.1</v>
      </c>
      <c r="J139" s="313">
        <f t="shared" si="24"/>
        <v>879334.9755000002</v>
      </c>
      <c r="K139" s="315">
        <f t="shared" si="24"/>
        <v>163.32</v>
      </c>
      <c r="L139" s="313">
        <f t="shared" si="24"/>
        <v>759619.8</v>
      </c>
      <c r="M139" s="313">
        <f t="shared" si="24"/>
        <v>966858.4049999999</v>
      </c>
      <c r="N139" s="112"/>
      <c r="O139" s="112"/>
    </row>
    <row r="140" spans="2:13" ht="18.75" customHeight="1" hidden="1">
      <c r="B140" s="110"/>
      <c r="C140" s="386"/>
      <c r="D140" s="387"/>
      <c r="E140" s="388"/>
      <c r="F140" s="387">
        <f>F139+G139</f>
        <v>1163263.202</v>
      </c>
      <c r="G140" s="387"/>
      <c r="H140" s="213"/>
      <c r="I140" s="312">
        <f>I139+J139</f>
        <v>1753704.0755000003</v>
      </c>
      <c r="J140" s="212"/>
      <c r="K140" s="213"/>
      <c r="L140" s="312">
        <f>L139+M139</f>
        <v>1726478.205</v>
      </c>
      <c r="M140" s="212"/>
    </row>
    <row r="141" spans="2:13" ht="30" customHeight="1" hidden="1">
      <c r="B141" s="311" t="s">
        <v>297</v>
      </c>
      <c r="C141" s="386"/>
      <c r="D141" s="387"/>
      <c r="E141" s="388">
        <f>44.7985+93.6</f>
        <v>138.39849999999998</v>
      </c>
      <c r="F141" s="387">
        <f>81673.3+706684.7</f>
        <v>788358</v>
      </c>
      <c r="G141" s="387">
        <f>487591+184920.8</f>
        <v>672511.8</v>
      </c>
      <c r="H141" s="213"/>
      <c r="I141" s="212"/>
      <c r="J141" s="212"/>
      <c r="K141" s="213"/>
      <c r="L141" s="212"/>
      <c r="M141" s="212"/>
    </row>
    <row r="142" spans="2:13" ht="18.75" customHeight="1" hidden="1">
      <c r="B142" s="109"/>
      <c r="C142" s="386"/>
      <c r="D142" s="387"/>
      <c r="E142" s="388"/>
      <c r="F142" s="387">
        <f>F141+G141</f>
        <v>1460869.8</v>
      </c>
      <c r="G142" s="387"/>
      <c r="H142" s="213"/>
      <c r="I142" s="212"/>
      <c r="J142" s="212"/>
      <c r="K142" s="213"/>
      <c r="L142" s="212"/>
      <c r="M142" s="212"/>
    </row>
    <row r="143" spans="2:13" ht="18.75" customHeight="1" hidden="1">
      <c r="B143" s="311" t="s">
        <v>389</v>
      </c>
      <c r="C143" s="386"/>
      <c r="D143" s="387"/>
      <c r="E143" s="388">
        <f>E139-E141</f>
        <v>-18.17549999999997</v>
      </c>
      <c r="F143" s="387">
        <f>F140-F142</f>
        <v>-297606.598</v>
      </c>
      <c r="G143" s="387"/>
      <c r="H143" s="213"/>
      <c r="I143" s="212"/>
      <c r="J143" s="212"/>
      <c r="K143" s="213"/>
      <c r="L143" s="212"/>
      <c r="M143" s="212"/>
    </row>
    <row r="144" spans="2:13" ht="18.75" customHeight="1" hidden="1">
      <c r="B144" s="110" t="s">
        <v>105</v>
      </c>
      <c r="C144" s="386"/>
      <c r="D144" s="387"/>
      <c r="E144" s="387"/>
      <c r="F144" s="387">
        <f>SUMIF($A$8:$A$131,"m",F8:F131)</f>
        <v>8000</v>
      </c>
      <c r="G144" s="387">
        <f>SUMIF($A$8:$A$131,"m",G8:G131)</f>
        <v>93061.9</v>
      </c>
      <c r="H144" s="212"/>
      <c r="I144" s="212">
        <f>SUMIF($A$8:$A$131,"m",I8:I131)</f>
        <v>56600</v>
      </c>
      <c r="J144" s="212">
        <f>SUMIF($A$8:$A$131,"m",J8:J131)</f>
        <v>88480.1</v>
      </c>
      <c r="K144" s="212"/>
      <c r="L144" s="212">
        <f>SUMIF($A$8:$A$131,"m",L8:L131)</f>
        <v>31000</v>
      </c>
      <c r="M144" s="212">
        <f>SUMIF($A$8:$A$131,"m",M8:M131)</f>
        <v>114570</v>
      </c>
    </row>
    <row r="145" spans="2:13" ht="18.75" customHeight="1" hidden="1">
      <c r="B145" s="110" t="s">
        <v>134</v>
      </c>
      <c r="C145" s="386"/>
      <c r="D145" s="387"/>
      <c r="E145" s="387"/>
      <c r="F145" s="387">
        <f>SUMIF($A$8:$A$131,"d",F8:F131)</f>
        <v>254235.99999999997</v>
      </c>
      <c r="G145" s="387">
        <f>SUMIF($A$8:$A$131,"d",G8:G131)</f>
        <v>310958.3599999999</v>
      </c>
      <c r="H145" s="212"/>
      <c r="I145" s="212">
        <f>SUMIF($A$8:$A$131,"d",I8:I131)</f>
        <v>164791.1</v>
      </c>
      <c r="J145" s="212">
        <f>SUMIF($A$8:$A$131,"d",J8:J131)</f>
        <v>539108.8755</v>
      </c>
      <c r="K145" s="212"/>
      <c r="L145" s="212">
        <f>SUMIF($A$8:$A$131,"d",L8:L131)</f>
        <v>279742</v>
      </c>
      <c r="M145" s="212">
        <f>SUMIF($A$8:$A$131,"d",M8:M131)</f>
        <v>598400.505</v>
      </c>
    </row>
    <row r="146" spans="2:13" ht="18.75" customHeight="1" hidden="1">
      <c r="B146" s="110" t="s">
        <v>299</v>
      </c>
      <c r="C146" s="386"/>
      <c r="D146" s="387"/>
      <c r="E146" s="388" t="e">
        <f>#REF!+E8+E12+#REF!+E16+E18+E20+#REF!+E22+E25+E38+E47+E58+E65+E75+E80+E84+#REF!+#REF!+E100+#REF!+#REF!+#REF!+E110+E112+#REF!+#REF!+E122+E126+#REF!+E93</f>
        <v>#REF!</v>
      </c>
      <c r="F146" s="387"/>
      <c r="G146" s="387"/>
      <c r="H146" s="213" t="e">
        <f>#REF!+H8+H12+#REF!+H16+H18+H20+#REF!+H22+H25+H38+H47+H58+H65+H75+H80+H84+#REF!+#REF!+H100+#REF!+#REF!+#REF!+H110+H112+#REF!+#REF!+H122+H126+#REF!+#REF!+H97+H92+H36</f>
        <v>#REF!</v>
      </c>
      <c r="I146" s="212"/>
      <c r="J146" s="212"/>
      <c r="K146" s="213" t="e">
        <f>K8+K12+K22+K25+K26+K36+K44+K47+K48+#REF!+K53+K54+#REF!+K59+K65+K75+K80+K84+K89+K92+K93+K97+#REF!+K109+#REF!+K113+K118+K123+K127</f>
        <v>#REF!</v>
      </c>
      <c r="L146" s="212"/>
      <c r="M146" s="212"/>
    </row>
    <row r="147" spans="2:13" s="255" customFormat="1" ht="26.25" hidden="1" thickBot="1">
      <c r="B147" s="256" t="s">
        <v>340</v>
      </c>
      <c r="C147" s="392"/>
      <c r="D147" s="392"/>
      <c r="E147" s="392"/>
      <c r="F147" s="393">
        <v>107.1</v>
      </c>
      <c r="G147" s="394" t="s">
        <v>341</v>
      </c>
      <c r="H147" s="252"/>
      <c r="I147" s="257">
        <v>107.6</v>
      </c>
      <c r="J147" s="258" t="s">
        <v>342</v>
      </c>
      <c r="K147" s="252"/>
      <c r="L147" s="259">
        <v>108</v>
      </c>
      <c r="M147" s="260" t="s">
        <v>343</v>
      </c>
    </row>
    <row r="148" spans="2:13" ht="18.75" customHeight="1" hidden="1">
      <c r="B148" s="110"/>
      <c r="C148" s="386"/>
      <c r="D148" s="387"/>
      <c r="E148" s="388"/>
      <c r="F148" s="387"/>
      <c r="G148" s="387"/>
      <c r="H148" s="213"/>
      <c r="I148" s="212"/>
      <c r="J148" s="212"/>
      <c r="K148" s="213"/>
      <c r="L148" s="212"/>
      <c r="M148" s="212"/>
    </row>
    <row r="149" spans="4:13" ht="12.75" customHeight="1" hidden="1">
      <c r="D149" s="396"/>
      <c r="E149" s="396" t="e">
        <f>E24+#REF!+#REF!+E106+#REF!+E129</f>
        <v>#REF!</v>
      </c>
      <c r="F149" s="396"/>
      <c r="G149" s="396">
        <f>F136+G136</f>
        <v>688870.2</v>
      </c>
      <c r="H149" s="214" t="e">
        <f>H14+H24+#REF!+H37+H49+H87+H96+H104+H106+H115+H116+H129</f>
        <v>#REF!</v>
      </c>
      <c r="I149" s="214"/>
      <c r="J149" s="214">
        <f>I145+J145+I134+J134</f>
        <v>708999.9755</v>
      </c>
      <c r="K149" s="214" t="e">
        <f>#REF!+K35+K81+K91+K115</f>
        <v>#REF!</v>
      </c>
      <c r="M149" s="215">
        <f>L136+M136</f>
        <v>1054988.4049999998</v>
      </c>
    </row>
    <row r="150" spans="4:13" ht="12.75" customHeight="1" hidden="1">
      <c r="D150" s="396"/>
      <c r="E150" s="396"/>
      <c r="F150" s="396">
        <f>G149-G150</f>
        <v>118439.19999999995</v>
      </c>
      <c r="G150" s="396">
        <v>570431</v>
      </c>
      <c r="H150" s="214"/>
      <c r="I150" s="214">
        <f>J149-J150</f>
        <v>-14830.824500000104</v>
      </c>
      <c r="J150" s="214">
        <v>723830.8</v>
      </c>
      <c r="K150" s="214"/>
      <c r="L150" s="214">
        <f>M149-M150</f>
        <v>-8997.695000000298</v>
      </c>
      <c r="M150" s="214">
        <v>1063986.1</v>
      </c>
    </row>
    <row r="151" spans="2:10" ht="12.75" hidden="1">
      <c r="B151" s="110"/>
      <c r="D151" s="397"/>
      <c r="E151" s="397"/>
      <c r="F151" s="397"/>
      <c r="G151" s="397" t="e">
        <f>103034.1-45166.7+#REF!+#REF!+1503600</f>
        <v>#REF!</v>
      </c>
      <c r="H151" s="215"/>
      <c r="I151" s="215"/>
      <c r="J151" s="215"/>
    </row>
    <row r="152" spans="2:10" ht="12.75" hidden="1">
      <c r="B152" s="110"/>
      <c r="D152" s="398"/>
      <c r="E152" s="398"/>
      <c r="F152" s="398"/>
      <c r="G152" s="398"/>
      <c r="H152" s="216"/>
      <c r="I152" s="216"/>
      <c r="J152" s="216"/>
    </row>
    <row r="153" spans="9:12" ht="12.75" hidden="1">
      <c r="I153" s="215">
        <f>I144+J144</f>
        <v>145080.1</v>
      </c>
      <c r="L153" s="215">
        <f>L144+M144</f>
        <v>145570</v>
      </c>
    </row>
    <row r="154" spans="4:12" ht="12.75" hidden="1">
      <c r="D154" s="399"/>
      <c r="E154" s="399"/>
      <c r="F154" s="399"/>
      <c r="G154" s="399"/>
      <c r="H154" s="217"/>
      <c r="I154" s="217">
        <f>I136+J136</f>
        <v>884357.8755000001</v>
      </c>
      <c r="J154" s="217"/>
      <c r="L154" s="215">
        <f>L136+M136</f>
        <v>1054988.4049999998</v>
      </c>
    </row>
    <row r="155" spans="9:12" ht="12.75" hidden="1">
      <c r="I155" s="77">
        <f>I153*100/I154</f>
        <v>16.405134620186914</v>
      </c>
      <c r="L155" s="77">
        <f>L153*100/L154</f>
        <v>13.79825591542876</v>
      </c>
    </row>
    <row r="156" spans="4:12" ht="12.75" hidden="1">
      <c r="D156" s="399"/>
      <c r="G156" s="400"/>
      <c r="H156" s="218"/>
      <c r="I156" s="218"/>
      <c r="J156" s="218"/>
      <c r="L156" s="77">
        <f>(I155+L155)/2</f>
        <v>15.101695267807838</v>
      </c>
    </row>
    <row r="157" ht="12.75" hidden="1"/>
    <row r="158" ht="12.75" hidden="1">
      <c r="L158" s="261" t="e">
        <f>L7+L10+L15+L19+#REF!+L23+L29+L34+L41+L45+#REF!+L50+L52+L57+L66+L76+L82+L86+L88+L90+L95+L99+L103+L107+L111+L114+L119+L125+L128</f>
        <v>#REF!</v>
      </c>
    </row>
    <row r="159" ht="12.75" hidden="1"/>
    <row r="160" ht="12.75" hidden="1"/>
    <row r="161" ht="15" hidden="1">
      <c r="L161" s="264" t="e">
        <f>L158+'т.7 рем.2012'!J127</f>
        <v>#REF!</v>
      </c>
    </row>
    <row r="162" ht="12.75" hidden="1"/>
    <row r="163" ht="12.75" hidden="1">
      <c r="L163" s="215">
        <v>759645.8</v>
      </c>
    </row>
    <row r="164" ht="12.75" hidden="1"/>
    <row r="165" ht="12.75" hidden="1">
      <c r="B165" s="148" t="s">
        <v>422</v>
      </c>
    </row>
    <row r="166" spans="2:13" ht="12.75" hidden="1">
      <c r="B166" s="84" t="s">
        <v>6</v>
      </c>
      <c r="C166" s="401"/>
      <c r="D166" s="401"/>
      <c r="E166" s="402">
        <f>E14+E24+E37+E49+E87+E96+E104+E115+E129+E35</f>
        <v>14.48</v>
      </c>
      <c r="F166" s="402">
        <f>F14+F24+F37+F49+F87+F96+F104+F115+F129+F35</f>
        <v>199285.59999999998</v>
      </c>
      <c r="G166" s="401"/>
      <c r="H166" s="323">
        <f>H81+H91+H115+H35</f>
        <v>15.4</v>
      </c>
      <c r="I166" s="323">
        <f>I81+I91+I115+I35</f>
        <v>160791.1</v>
      </c>
      <c r="J166" s="84"/>
      <c r="K166" s="323">
        <f>K14+K24+K35+K49+K96+K104+K106+K113</f>
        <v>18.5</v>
      </c>
      <c r="L166" s="323">
        <f>L14+L24+L35+L49+L96+L104+L106+L113</f>
        <v>277242</v>
      </c>
      <c r="M166" s="84"/>
    </row>
    <row r="167" spans="2:13" ht="12.75" hidden="1">
      <c r="B167" s="84" t="s">
        <v>8</v>
      </c>
      <c r="C167" s="401"/>
      <c r="D167" s="401"/>
      <c r="E167" s="402" t="s">
        <v>11</v>
      </c>
      <c r="F167" s="402">
        <f>F63+F105+F116</f>
        <v>24950.4</v>
      </c>
      <c r="G167" s="401"/>
      <c r="H167" s="84" t="s">
        <v>417</v>
      </c>
      <c r="I167" s="84">
        <f>I63</f>
        <v>4000</v>
      </c>
      <c r="J167" s="84"/>
      <c r="K167" s="84" t="s">
        <v>417</v>
      </c>
      <c r="L167" s="84">
        <f>L124</f>
        <v>2500</v>
      </c>
      <c r="M167" s="84"/>
    </row>
    <row r="168" spans="2:13" ht="12.75" hidden="1">
      <c r="B168" s="84" t="s">
        <v>105</v>
      </c>
      <c r="C168" s="401"/>
      <c r="D168" s="401"/>
      <c r="E168" s="402" t="s">
        <v>9</v>
      </c>
      <c r="F168" s="402">
        <f>F28</f>
        <v>8000</v>
      </c>
      <c r="G168" s="401"/>
      <c r="H168" s="84" t="s">
        <v>418</v>
      </c>
      <c r="I168" s="323">
        <f>I94+I78+I42+I28</f>
        <v>56600</v>
      </c>
      <c r="J168" s="84"/>
      <c r="K168" s="84" t="s">
        <v>417</v>
      </c>
      <c r="L168" s="323">
        <f>L28</f>
        <v>31000</v>
      </c>
      <c r="M168" s="84"/>
    </row>
    <row r="169" spans="2:13" ht="12.75" hidden="1">
      <c r="B169" s="84" t="s">
        <v>10</v>
      </c>
      <c r="C169" s="401"/>
      <c r="D169" s="401"/>
      <c r="E169" s="402"/>
      <c r="F169" s="402">
        <f>F7+F10+F15+F19+F23+F29+F34+F41+F45+F50+F52+F57+F64+F66+F76+F82+F86+F88+F90+F95+F99+F103+F107+F111+F114+F119+F125+F128</f>
        <v>262236</v>
      </c>
      <c r="G169" s="401"/>
      <c r="H169" s="84"/>
      <c r="I169" s="323">
        <f>I7+I10+I15+I19+I23+I29+I34+I41+I45+I50+I52+I57+I64+I66+I76+I82+I86+I88+I90+I95+I99+I103+I107+I111+I114+I119+I125+I128</f>
        <v>221391.1</v>
      </c>
      <c r="J169" s="84"/>
      <c r="K169" s="84"/>
      <c r="L169" s="323">
        <f>L7+L10+L15+L19+L23+L29+L34+L41+L45+L50+L52+L57+L64+L66+L76+L82+L86+L88+L90+L95+L99+L103+L107+L111+L114+L119+L125+L128</f>
        <v>310742</v>
      </c>
      <c r="M169" s="84"/>
    </row>
    <row r="170" spans="2:13" ht="12.75" hidden="1">
      <c r="B170" s="84" t="s">
        <v>7</v>
      </c>
      <c r="C170" s="401"/>
      <c r="D170" s="401"/>
      <c r="E170" s="402">
        <f>E8+E9+E12+E18+E22+E25+E26+E36+E38+E44+E47+E48+E53+E54+E58+E59+E65+E75+E80+E84+E89+E92+E97+E100+E101+E102+E109+E110+E112+E117+E118+E122+E123+E126+E127+E130</f>
        <v>31.333000000000006</v>
      </c>
      <c r="F170" s="401"/>
      <c r="G170" s="402">
        <f>G8+G9+G12+G18+G22+G25+G26+G36+G38+G44+G47+G48+G53+G54+G58+G59+G65+G75+G80+G84+G89+G92+G97+G100+G101+G102+G109+G110+G112+G117+G118+G122+G123+G126+G127+G130</f>
        <v>294200.3599999999</v>
      </c>
      <c r="H170" s="323">
        <f>H8+H9+H12+H18+H22+H25+H26+H36+H38+H44+H47+H48+H53+H54+H58+H59+H65+H75+H80+H84+H89+H92+H97+H100+H101+H102+H109+H110+H112+H117+H118+H122+H123+H126+H127+H130</f>
        <v>63.37</v>
      </c>
      <c r="I170" s="84"/>
      <c r="J170" s="323">
        <f>J8+J9+J12+J18+J22+J25+J26+J36+J38+J44+J47+J48+J53+J54+J58+J59+J65+J75+J80+J84+J89+J92+J97+J100+J101+J102+J109+J110+J112+J117+J118+J122+J123+J126+J127+J130</f>
        <v>534644.7755</v>
      </c>
      <c r="K170" s="323">
        <f>K8+K9+K12+K18+K22+K26+K36+K38+K44+K47+K54+K58+K65+K75+K84+K92+K93+K102+K109+K117+K123+K126+K130</f>
        <v>49.16</v>
      </c>
      <c r="L170" s="84"/>
      <c r="M170" s="323">
        <f>M8+M9+M12+M18+M22+M26+M36+M38+M44+M47+M54+M58+M65+M75+M84+M92+M93+M102+M109+M117+M123+M126+M130</f>
        <v>507312.98500000004</v>
      </c>
    </row>
    <row r="171" spans="2:13" ht="12.75" hidden="1">
      <c r="B171" s="84" t="s">
        <v>8</v>
      </c>
      <c r="C171" s="401"/>
      <c r="D171" s="401"/>
      <c r="E171" s="401" t="s">
        <v>415</v>
      </c>
      <c r="F171" s="401"/>
      <c r="G171" s="402">
        <f>G11+G17+G27+G43+G71+G72+G73+G74+G83+G105+G124+G39</f>
        <v>17358</v>
      </c>
      <c r="H171" s="323" t="s">
        <v>9</v>
      </c>
      <c r="I171" s="84"/>
      <c r="J171" s="323">
        <f>J11+J17+J27+J43+J71+J72+J73+J74+J83+J105+J124</f>
        <v>10000</v>
      </c>
      <c r="K171" s="84" t="s">
        <v>420</v>
      </c>
      <c r="L171" s="84"/>
      <c r="M171" s="323">
        <f>M11+M17+M27+M43+M71+M72+M73+M74+M83+M105+M124+M116+M63</f>
        <v>59746.520000000004</v>
      </c>
    </row>
    <row r="172" spans="2:13" ht="12.75" hidden="1">
      <c r="B172" s="84" t="s">
        <v>105</v>
      </c>
      <c r="C172" s="401"/>
      <c r="D172" s="401"/>
      <c r="E172" s="401" t="s">
        <v>416</v>
      </c>
      <c r="F172" s="401"/>
      <c r="G172" s="402">
        <f>G16+G20+G21+G30+G31+G32+G33+G40+G46+G51+G60+G61+G62+G67+G68+G69+G70+G77+G98+G108+G120+G121+G131</f>
        <v>93061.9</v>
      </c>
      <c r="H172" s="84" t="s">
        <v>419</v>
      </c>
      <c r="I172" s="84"/>
      <c r="J172" s="323">
        <f>J16+J20+J21+J30+J31+J32+J33+J40+J46+J51+J60+J61+J62+J67+J68+J69+J70+J77+J98+J108+J120+J121+J131</f>
        <v>88480.1</v>
      </c>
      <c r="K172" s="84" t="s">
        <v>421</v>
      </c>
      <c r="L172" s="84"/>
      <c r="M172" s="323">
        <f>M16+M20+M21+M30+M31+M32+M33+M40+M46+M51+M60+M61+M62+M67+M68+M69+M70+M77+M98+M108+M120+M121+M131</f>
        <v>114570</v>
      </c>
    </row>
    <row r="173" spans="2:13" ht="12.75" hidden="1">
      <c r="B173" s="84" t="s">
        <v>10</v>
      </c>
      <c r="C173" s="401"/>
      <c r="D173" s="401"/>
      <c r="E173" s="402">
        <f>E7+E10+E15+E19+E23+E29+E34+E41+E45+E50+E52+E57+E64+E66+E76+E82+E86+E88+E90+E95+E99+E103+E107+E111+E114+E119+E125+E128</f>
        <v>46.61300000000001</v>
      </c>
      <c r="F173" s="401"/>
      <c r="G173" s="402">
        <f>G7+G10+G15+G19+G23+G29+G34+G41+G45+G50+G52+G57+G64+G66+G76+G82+G86+G88+G90+G95+G99+G103+G107+G111+G114+G119+G125+G128</f>
        <v>422634.19999999995</v>
      </c>
      <c r="H173" s="323">
        <f>H7+H10+H15+H19+H23+H29+H34+H41+H45+H50+H52+H57+H64+H66+H76+H82+H86+H88+H90+H95+H99+H103+H107+H111+H114+H119+H125+H128</f>
        <v>80.77000000000001</v>
      </c>
      <c r="I173" s="84"/>
      <c r="J173" s="323">
        <f>J7+J10+J15+J19+J23+J29+J34+J41+J45+J50+J52+J57+J64+J66+J76+J82+J86+J88+J90+J95+J99+J103+J107+J111+J114+J119+J125+J128</f>
        <v>657866.7755</v>
      </c>
      <c r="K173" s="323">
        <f>K7+K10+K15+K19+K23+K29+K34+K41+K45+K50+K52+K57+K64+K66+K76+K82+K86+K88+K90+K95+K99+K103+K107+K111+K114+K119+K125+K128</f>
        <v>72.36000000000001</v>
      </c>
      <c r="L173" s="84"/>
      <c r="M173" s="323">
        <f>M7+M10+M15+M19+M23+M29+M34+M41+M45+M50+M52+M57+M64+M66+M76+M82+M86+M88+M90+M95+M99+M103+M107+M111+M114+M119+M125+M128</f>
        <v>738546.405</v>
      </c>
    </row>
    <row r="174" ht="12.75" hidden="1"/>
    <row r="175" ht="12.75" hidden="1"/>
    <row r="176" spans="2:13" ht="12.75" hidden="1">
      <c r="B176" s="84" t="s">
        <v>6</v>
      </c>
      <c r="E176" s="401">
        <v>61.095</v>
      </c>
      <c r="F176" s="401">
        <v>384618.4</v>
      </c>
      <c r="G176" s="401"/>
      <c r="H176" s="84">
        <v>99.55</v>
      </c>
      <c r="I176" s="84">
        <v>649278</v>
      </c>
      <c r="J176" s="84"/>
      <c r="K176" s="84">
        <v>64.2</v>
      </c>
      <c r="L176" s="84">
        <v>436077.8</v>
      </c>
      <c r="M176" s="84"/>
    </row>
    <row r="177" spans="2:13" ht="12.75" hidden="1">
      <c r="B177" s="84" t="s">
        <v>8</v>
      </c>
      <c r="E177" s="401" t="s">
        <v>417</v>
      </c>
      <c r="F177" s="401">
        <v>1020.4</v>
      </c>
      <c r="G177" s="401"/>
      <c r="H177" s="84" t="s">
        <v>9</v>
      </c>
      <c r="I177" s="84"/>
      <c r="J177" s="84"/>
      <c r="K177" s="84" t="s">
        <v>11</v>
      </c>
      <c r="L177" s="84">
        <v>9500</v>
      </c>
      <c r="M177" s="84"/>
    </row>
    <row r="178" spans="2:13" ht="12.75" hidden="1">
      <c r="B178" s="84" t="s">
        <v>10</v>
      </c>
      <c r="E178" s="401"/>
      <c r="F178" s="401">
        <v>385638.8</v>
      </c>
      <c r="G178" s="401"/>
      <c r="H178" s="84"/>
      <c r="I178" s="84">
        <v>649278</v>
      </c>
      <c r="J178" s="84"/>
      <c r="K178" s="84"/>
      <c r="L178" s="84">
        <v>445577.8</v>
      </c>
      <c r="M178" s="84"/>
    </row>
    <row r="179" spans="2:13" ht="12.75" hidden="1">
      <c r="B179" s="84" t="s">
        <v>7</v>
      </c>
      <c r="E179" s="401">
        <v>10.685</v>
      </c>
      <c r="F179" s="401"/>
      <c r="G179" s="401">
        <v>116804.202</v>
      </c>
      <c r="H179" s="84">
        <v>29.97</v>
      </c>
      <c r="I179" s="84"/>
      <c r="J179" s="84">
        <v>212068.2</v>
      </c>
      <c r="K179" s="84">
        <v>26.76</v>
      </c>
      <c r="L179" s="84"/>
      <c r="M179" s="84">
        <v>221012</v>
      </c>
    </row>
    <row r="180" spans="2:13" ht="12.75" hidden="1">
      <c r="B180" s="84" t="s">
        <v>8</v>
      </c>
      <c r="E180" s="401"/>
      <c r="F180" s="401"/>
      <c r="G180" s="401"/>
      <c r="H180" s="84" t="s">
        <v>9</v>
      </c>
      <c r="I180" s="84"/>
      <c r="J180" s="84">
        <v>5000</v>
      </c>
      <c r="K180" s="84" t="s">
        <v>417</v>
      </c>
      <c r="L180" s="84"/>
      <c r="M180" s="84">
        <v>2500</v>
      </c>
    </row>
    <row r="181" spans="2:13" ht="12.75" hidden="1">
      <c r="B181" s="84" t="s">
        <v>10</v>
      </c>
      <c r="E181" s="401">
        <v>71.78</v>
      </c>
      <c r="F181" s="401">
        <v>385638.8</v>
      </c>
      <c r="G181" s="401">
        <v>116804.202</v>
      </c>
      <c r="H181" s="84">
        <v>129.52</v>
      </c>
      <c r="I181" s="84">
        <v>649278</v>
      </c>
      <c r="J181" s="84">
        <v>217068.2</v>
      </c>
      <c r="K181" s="84">
        <v>90.96</v>
      </c>
      <c r="L181" s="84">
        <v>445577.8</v>
      </c>
      <c r="M181" s="84">
        <v>223512</v>
      </c>
    </row>
    <row r="182" ht="12.75" hidden="1"/>
    <row r="183" ht="12.75" hidden="1"/>
    <row r="184" ht="12.75" hidden="1"/>
    <row r="185" spans="2:13" ht="12.75" hidden="1">
      <c r="B185" s="84" t="s">
        <v>423</v>
      </c>
      <c r="C185" s="401"/>
      <c r="D185" s="401"/>
      <c r="E185" s="402">
        <f>E166+E176</f>
        <v>75.575</v>
      </c>
      <c r="F185" s="402">
        <f>F166+F176+F167+F177</f>
        <v>609874.8</v>
      </c>
      <c r="G185" s="401"/>
      <c r="H185" s="323">
        <f>H166+H176</f>
        <v>114.95</v>
      </c>
      <c r="I185" s="323">
        <f>I166+I167+I176</f>
        <v>814069.1</v>
      </c>
      <c r="J185" s="84"/>
      <c r="K185" s="323">
        <f>K166+K176</f>
        <v>82.7</v>
      </c>
      <c r="L185" s="323">
        <f>L166+L167+L176+L177</f>
        <v>725319.8</v>
      </c>
      <c r="M185" s="323">
        <f>E185+H185+K185</f>
        <v>273.225</v>
      </c>
    </row>
    <row r="186" spans="2:13" ht="12.75" hidden="1">
      <c r="B186" s="84"/>
      <c r="C186" s="401"/>
      <c r="D186" s="401"/>
      <c r="E186" s="402" t="s">
        <v>9</v>
      </c>
      <c r="F186" s="402">
        <f>F168</f>
        <v>8000</v>
      </c>
      <c r="G186" s="401"/>
      <c r="H186" s="84" t="s">
        <v>418</v>
      </c>
      <c r="I186" s="323">
        <f>I168</f>
        <v>56600</v>
      </c>
      <c r="J186" s="84"/>
      <c r="K186" s="84" t="s">
        <v>417</v>
      </c>
      <c r="L186" s="323">
        <f>L168</f>
        <v>31000</v>
      </c>
      <c r="M186" s="84">
        <f>6</f>
        <v>6</v>
      </c>
    </row>
    <row r="187" spans="6:12" ht="12.75" hidden="1">
      <c r="F187" s="397">
        <f>F169+F178</f>
        <v>647874.8</v>
      </c>
      <c r="I187" s="215">
        <f>I169+I178</f>
        <v>870669.1</v>
      </c>
      <c r="L187" s="215">
        <f>L169+L178</f>
        <v>756319.8</v>
      </c>
    </row>
    <row r="188" spans="2:13" ht="12.75" hidden="1">
      <c r="B188" s="77" t="s">
        <v>428</v>
      </c>
      <c r="E188" s="397">
        <f>E179+E170</f>
        <v>42.01800000000001</v>
      </c>
      <c r="F188" s="397"/>
      <c r="G188" s="397">
        <f>G170+G171</f>
        <v>311558.3599999999</v>
      </c>
      <c r="H188" s="215">
        <f>H179+H170</f>
        <v>93.34</v>
      </c>
      <c r="I188" s="215"/>
      <c r="J188" s="215">
        <f>J170+J171+J179+J180</f>
        <v>761712.9755</v>
      </c>
      <c r="K188" s="215">
        <f>K179+K170</f>
        <v>75.92</v>
      </c>
      <c r="L188" s="215"/>
      <c r="M188" s="215">
        <f>M170+M171+M179+M180</f>
        <v>790571.505</v>
      </c>
    </row>
    <row r="189" spans="5:13" ht="12.75" hidden="1">
      <c r="E189" s="395" t="s">
        <v>416</v>
      </c>
      <c r="F189" s="397"/>
      <c r="G189" s="397">
        <f>G172</f>
        <v>93061.9</v>
      </c>
      <c r="H189" s="84" t="s">
        <v>419</v>
      </c>
      <c r="I189" s="215"/>
      <c r="J189" s="215">
        <f>J172</f>
        <v>88480.1</v>
      </c>
      <c r="K189" s="84" t="s">
        <v>421</v>
      </c>
      <c r="L189" s="215"/>
      <c r="M189" s="215">
        <f>M172</f>
        <v>114570</v>
      </c>
    </row>
    <row r="190" ht="12.75" hidden="1"/>
    <row r="191" spans="2:13" ht="12.75" hidden="1">
      <c r="B191" s="84" t="s">
        <v>424</v>
      </c>
      <c r="C191" s="401"/>
      <c r="D191" s="401"/>
      <c r="E191" s="401">
        <f>'т.7 рем.2012'!C36+'т.7 рем.2012'!C48+'т.7 рем.2012'!C68+'т.7 рем.2012'!C78</f>
        <v>18.08</v>
      </c>
      <c r="F191" s="401"/>
      <c r="G191" s="401"/>
      <c r="H191" s="84">
        <f>'т.7 рем.2012'!F78+'т.7 рем.2012'!F68+'т.7 рем.2012'!F55+'т.7 рем.2012'!F48+'т.7 рем.2012'!F36</f>
        <v>18.5</v>
      </c>
      <c r="I191" s="84"/>
      <c r="J191" s="84"/>
      <c r="K191" s="84">
        <f>'т.7 рем.2012'!I78+'т.7 рем.2012'!I68+'т.7 рем.2012'!I55+'т.7 рем.2012'!I48+'т.7 рем.2012'!I36</f>
        <v>11</v>
      </c>
      <c r="L191" s="84"/>
      <c r="M191" s="77">
        <f>E191+H191+K191</f>
        <v>47.58</v>
      </c>
    </row>
    <row r="192" spans="2:13" ht="12.75" hidden="1">
      <c r="B192" s="84" t="s">
        <v>425</v>
      </c>
      <c r="C192" s="401"/>
      <c r="D192" s="401"/>
      <c r="E192" s="401">
        <f>'т.7 рем.2012'!C11</f>
        <v>4</v>
      </c>
      <c r="F192" s="401"/>
      <c r="G192" s="401"/>
      <c r="H192" s="323">
        <f>H106+'т.7 рем.2012'!F11+'т.7 рем.2012'!F94</f>
        <v>4</v>
      </c>
      <c r="I192" s="84"/>
      <c r="J192" s="84"/>
      <c r="K192" s="323">
        <f>K106+'т.7 рем.2012'!I11+'т.7 рем.2012'!I94</f>
        <v>1.7</v>
      </c>
      <c r="L192" s="84"/>
      <c r="M192" s="77">
        <f>E192+H192+K192</f>
        <v>9.7</v>
      </c>
    </row>
    <row r="193" spans="2:13" ht="12.75" hidden="1">
      <c r="B193" s="84" t="s">
        <v>426</v>
      </c>
      <c r="C193" s="401"/>
      <c r="D193" s="401"/>
      <c r="E193" s="401"/>
      <c r="F193" s="401"/>
      <c r="G193" s="401"/>
      <c r="H193" s="84"/>
      <c r="I193" s="84"/>
      <c r="J193" s="84"/>
      <c r="K193" s="84"/>
      <c r="L193" s="84"/>
      <c r="M193" s="77">
        <f>E193+H193+K193</f>
        <v>0</v>
      </c>
    </row>
    <row r="194" spans="2:13" ht="12.75" hidden="1">
      <c r="B194" s="84" t="s">
        <v>427</v>
      </c>
      <c r="C194" s="401"/>
      <c r="D194" s="401"/>
      <c r="E194" s="402">
        <f>E37+'т.7 рем.2012'!C60+'т.7 рем.2012'!C16</f>
        <v>7.525</v>
      </c>
      <c r="F194" s="401"/>
      <c r="G194" s="401"/>
      <c r="H194" s="323">
        <f>H37+'т.7 рем.2012'!F112+'т.7 рем.2012'!F92+'т.7 рем.2012'!F60+'т.7 рем.2012'!F16</f>
        <v>12.38</v>
      </c>
      <c r="I194" s="84"/>
      <c r="J194" s="84"/>
      <c r="K194" s="323">
        <f>K37+'т.7 рем.2012'!I112+'т.7 рем.2012'!I92+'т.7 рем.2012'!I60+'т.7 рем.2012'!I16</f>
        <v>20</v>
      </c>
      <c r="L194" s="84"/>
      <c r="M194" s="77">
        <f>E194+H194+K194</f>
        <v>39.905</v>
      </c>
    </row>
    <row r="195" spans="2:13" ht="12.75" hidden="1">
      <c r="B195" s="84" t="s">
        <v>229</v>
      </c>
      <c r="C195" s="401"/>
      <c r="D195" s="401"/>
      <c r="E195" s="402">
        <f>E49+'т.7 рем.2012'!C70</f>
        <v>4.0200000000000005</v>
      </c>
      <c r="F195" s="401"/>
      <c r="G195" s="401"/>
      <c r="H195" s="323">
        <f>H49+'т.7 рем.2012'!F42+'т.7 рем.2012'!F70</f>
        <v>5.22</v>
      </c>
      <c r="I195" s="84"/>
      <c r="J195" s="84"/>
      <c r="K195" s="323">
        <f>K49+'т.7 рем.2012'!I42+'т.7 рем.2012'!I70</f>
        <v>7</v>
      </c>
      <c r="L195" s="84"/>
      <c r="M195" s="77">
        <f>E195+H195+K195</f>
        <v>16.240000000000002</v>
      </c>
    </row>
    <row r="196" spans="2:13" ht="12.75" hidden="1">
      <c r="B196" s="84" t="s">
        <v>201</v>
      </c>
      <c r="C196" s="401"/>
      <c r="D196" s="401"/>
      <c r="E196" s="402">
        <f>E14</f>
        <v>2.5</v>
      </c>
      <c r="F196" s="401"/>
      <c r="G196" s="401"/>
      <c r="H196" s="323">
        <f>H14+'т.7 рем.2012'!F26</f>
        <v>4.95</v>
      </c>
      <c r="I196" s="84"/>
      <c r="J196" s="84"/>
      <c r="K196" s="323">
        <f>K14+'т.7 рем.2012'!I26</f>
        <v>3.7</v>
      </c>
      <c r="L196" s="84"/>
      <c r="M196" s="77">
        <f>E196+H196+K196</f>
        <v>11.15</v>
      </c>
    </row>
    <row r="197" spans="2:13" ht="12.75" hidden="1">
      <c r="B197" s="84" t="s">
        <v>257</v>
      </c>
      <c r="C197" s="401"/>
      <c r="D197" s="401"/>
      <c r="E197" s="402">
        <f>E104+E87+'т.7 рем.2012'!C67+'т.7 рем.2012'!C95</f>
        <v>8.31</v>
      </c>
      <c r="F197" s="401"/>
      <c r="G197" s="401"/>
      <c r="H197" s="323">
        <f>H104+H87+'т.7 рем.2012'!F67+'т.7 рем.2012'!F95</f>
        <v>7.6</v>
      </c>
      <c r="I197" s="84"/>
      <c r="J197" s="84"/>
      <c r="K197" s="323">
        <f>K104+K87+'т.7 рем.2012'!I67+'т.7 рем.2012'!I95</f>
        <v>9.4</v>
      </c>
      <c r="L197" s="84"/>
      <c r="M197" s="77">
        <f>E197+H197+K197</f>
        <v>25.310000000000002</v>
      </c>
    </row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</sheetData>
  <sheetProtection/>
  <mergeCells count="6">
    <mergeCell ref="B4:B6"/>
    <mergeCell ref="C4:C6"/>
    <mergeCell ref="H4:J4"/>
    <mergeCell ref="K4:M4"/>
    <mergeCell ref="B2:G2"/>
    <mergeCell ref="D4:G4"/>
  </mergeCells>
  <conditionalFormatting sqref="H98:L98 J95 J97:M97 H95:I97 K82:M82 L17 K17:K18 H7:J94 K7:M16 K83:L96 K19:L81 M17:M81 M83:M95 C148 E138:O139 D133:M135 D17:F98 G17:G95 G97 C7:C146 D99:M131 D7:G16">
    <cfRule type="cellIs" priority="2" dxfId="0" operator="equal" stopIfTrue="1">
      <formula>0</formula>
    </cfRule>
  </conditionalFormatting>
  <printOptions horizontalCentered="1"/>
  <pageMargins left="0.3937007874015748" right="0.1968503937007874" top="0.3937007874015748" bottom="0.1968503937007874" header="0.5118110236220472" footer="0.5118110236220472"/>
  <pageSetup fitToHeight="9" fitToWidth="1" horizontalDpi="600" verticalDpi="600" orientation="portrait" paperSize="9" r:id="rId3"/>
  <rowBreaks count="3" manualBreakCount="3">
    <brk id="19" min="1" max="13" man="1"/>
    <brk id="33" min="1" max="13" man="1"/>
    <brk id="45" min="1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M193"/>
  <sheetViews>
    <sheetView showZeros="0" view="pageBreakPreview" zoomScaleSheetLayoutView="10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15" sqref="B115"/>
    </sheetView>
  </sheetViews>
  <sheetFormatPr defaultColWidth="9.00390625" defaultRowHeight="12.75"/>
  <cols>
    <col min="1" max="1" width="3.75390625" style="77" customWidth="1"/>
    <col min="2" max="2" width="41.375" style="77" customWidth="1"/>
    <col min="3" max="3" width="6.25390625" style="77" customWidth="1"/>
    <col min="4" max="4" width="6.625" style="77" hidden="1" customWidth="1"/>
    <col min="5" max="5" width="5.625" style="77" hidden="1" customWidth="1"/>
    <col min="6" max="6" width="10.625" style="77" hidden="1" customWidth="1"/>
    <col min="7" max="7" width="11.375" style="77" hidden="1" customWidth="1"/>
    <col min="8" max="8" width="6.00390625" style="77" customWidth="1"/>
    <col min="9" max="9" width="11.25390625" style="77" customWidth="1"/>
    <col min="10" max="10" width="11.125" style="77" customWidth="1"/>
    <col min="11" max="11" width="6.375" style="77" customWidth="1"/>
    <col min="12" max="12" width="10.875" style="77" customWidth="1"/>
    <col min="13" max="13" width="12.00390625" style="77" customWidth="1"/>
    <col min="14" max="16384" width="9.125" style="77" customWidth="1"/>
  </cols>
  <sheetData>
    <row r="1" spans="2:10" ht="17.25" customHeight="1">
      <c r="B1" s="80"/>
      <c r="C1" s="80"/>
      <c r="D1" s="621"/>
      <c r="E1" s="621"/>
      <c r="F1" s="621"/>
      <c r="G1" s="81"/>
      <c r="H1" s="81"/>
      <c r="I1" s="81"/>
      <c r="J1" s="81"/>
    </row>
    <row r="2" spans="2:13" ht="57" customHeight="1">
      <c r="B2" s="976" t="s">
        <v>268</v>
      </c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</row>
    <row r="3" spans="2:10" ht="12.75">
      <c r="B3" s="165"/>
      <c r="C3" s="165"/>
      <c r="D3" s="166"/>
      <c r="E3" s="166"/>
      <c r="F3" s="166"/>
      <c r="G3" s="166"/>
      <c r="H3" s="166"/>
      <c r="I3" s="166"/>
      <c r="J3" s="166"/>
    </row>
    <row r="4" spans="2:13" ht="24.75" customHeight="1">
      <c r="B4" s="899" t="s">
        <v>108</v>
      </c>
      <c r="C4" s="985" t="s">
        <v>109</v>
      </c>
      <c r="D4" s="986" t="s">
        <v>434</v>
      </c>
      <c r="E4" s="987"/>
      <c r="F4" s="987"/>
      <c r="G4" s="988"/>
      <c r="H4" s="984" t="s">
        <v>146</v>
      </c>
      <c r="I4" s="982"/>
      <c r="J4" s="983"/>
      <c r="K4" s="984" t="s">
        <v>194</v>
      </c>
      <c r="L4" s="982"/>
      <c r="M4" s="983"/>
    </row>
    <row r="5" spans="2:13" ht="65.25" customHeight="1">
      <c r="B5" s="900"/>
      <c r="C5" s="985"/>
      <c r="D5" s="590" t="s">
        <v>110</v>
      </c>
      <c r="E5" s="167" t="s">
        <v>111</v>
      </c>
      <c r="F5" s="554" t="s">
        <v>112</v>
      </c>
      <c r="G5" s="554" t="s">
        <v>113</v>
      </c>
      <c r="H5" s="289" t="s">
        <v>111</v>
      </c>
      <c r="I5" s="83" t="s">
        <v>112</v>
      </c>
      <c r="J5" s="83" t="s">
        <v>113</v>
      </c>
      <c r="K5" s="289" t="s">
        <v>111</v>
      </c>
      <c r="L5" s="83" t="s">
        <v>112</v>
      </c>
      <c r="M5" s="83" t="s">
        <v>113</v>
      </c>
    </row>
    <row r="6" spans="2:13" ht="23.25" customHeight="1">
      <c r="B6" s="901"/>
      <c r="C6" s="985"/>
      <c r="D6" s="82" t="s">
        <v>107</v>
      </c>
      <c r="E6" s="167" t="s">
        <v>106</v>
      </c>
      <c r="F6" s="168" t="s">
        <v>114</v>
      </c>
      <c r="G6" s="168" t="s">
        <v>114</v>
      </c>
      <c r="H6" s="167" t="s">
        <v>195</v>
      </c>
      <c r="I6" s="168" t="s">
        <v>114</v>
      </c>
      <c r="J6" s="168" t="s">
        <v>114</v>
      </c>
      <c r="K6" s="167" t="s">
        <v>195</v>
      </c>
      <c r="L6" s="168" t="s">
        <v>114</v>
      </c>
      <c r="M6" s="168" t="s">
        <v>114</v>
      </c>
    </row>
    <row r="7" spans="2:13" ht="14.25">
      <c r="B7" s="87" t="s">
        <v>196</v>
      </c>
      <c r="C7" s="622"/>
      <c r="D7" s="88"/>
      <c r="E7" s="88">
        <f>SUM(E8:E8)</f>
        <v>2</v>
      </c>
      <c r="F7" s="88">
        <f>SUM(F8:F8)</f>
        <v>0</v>
      </c>
      <c r="G7" s="88">
        <f>SUM(G8:G8)</f>
        <v>20873.3</v>
      </c>
      <c r="H7" s="88">
        <f aca="true" t="shared" si="0" ref="H7:M7">SUM(H8:H9)</f>
        <v>2.9</v>
      </c>
      <c r="I7" s="88">
        <f t="shared" si="0"/>
        <v>0</v>
      </c>
      <c r="J7" s="88">
        <f t="shared" si="0"/>
        <v>23860</v>
      </c>
      <c r="K7" s="88">
        <f t="shared" si="0"/>
        <v>3.8</v>
      </c>
      <c r="L7" s="88">
        <f t="shared" si="0"/>
        <v>0</v>
      </c>
      <c r="M7" s="88">
        <f t="shared" si="0"/>
        <v>29823.6</v>
      </c>
    </row>
    <row r="8" spans="1:13" ht="12.75">
      <c r="A8" s="77" t="s">
        <v>124</v>
      </c>
      <c r="B8" s="171" t="s">
        <v>197</v>
      </c>
      <c r="C8" s="623" t="s">
        <v>115</v>
      </c>
      <c r="D8" s="172"/>
      <c r="E8" s="172">
        <v>2</v>
      </c>
      <c r="F8" s="172"/>
      <c r="G8" s="172">
        <v>20873.3</v>
      </c>
      <c r="H8" s="172">
        <v>1.5</v>
      </c>
      <c r="I8" s="172"/>
      <c r="J8" s="172">
        <v>14000</v>
      </c>
      <c r="K8" s="172">
        <v>1.8</v>
      </c>
      <c r="L8" s="172"/>
      <c r="M8" s="172">
        <f>20873.3-5000</f>
        <v>15873.3</v>
      </c>
    </row>
    <row r="9" spans="1:13" ht="12.75">
      <c r="A9" s="77" t="s">
        <v>124</v>
      </c>
      <c r="B9" s="188" t="s">
        <v>302</v>
      </c>
      <c r="C9" s="624" t="s">
        <v>115</v>
      </c>
      <c r="D9" s="625"/>
      <c r="E9" s="176"/>
      <c r="F9" s="176"/>
      <c r="G9" s="176"/>
      <c r="H9" s="226">
        <v>1.4</v>
      </c>
      <c r="I9" s="226"/>
      <c r="J9" s="226">
        <v>9860</v>
      </c>
      <c r="K9" s="176">
        <v>2</v>
      </c>
      <c r="L9" s="176"/>
      <c r="M9" s="176">
        <f>8950.3+5000</f>
        <v>13950.3</v>
      </c>
    </row>
    <row r="10" spans="2:13" ht="14.25">
      <c r="B10" s="87" t="s">
        <v>198</v>
      </c>
      <c r="C10" s="622"/>
      <c r="D10" s="175"/>
      <c r="E10" s="175">
        <f aca="true" t="shared" si="1" ref="E10:M10">SUM(E11:E13)</f>
        <v>3.7</v>
      </c>
      <c r="F10" s="175">
        <f t="shared" si="1"/>
        <v>30000</v>
      </c>
      <c r="G10" s="175">
        <f t="shared" si="1"/>
        <v>18876.6</v>
      </c>
      <c r="H10" s="175">
        <f t="shared" si="1"/>
        <v>1.8</v>
      </c>
      <c r="I10" s="175">
        <f t="shared" si="1"/>
        <v>0</v>
      </c>
      <c r="J10" s="175">
        <f t="shared" si="1"/>
        <v>29375.8</v>
      </c>
      <c r="K10" s="175">
        <f t="shared" si="1"/>
        <v>3.7</v>
      </c>
      <c r="L10" s="175">
        <f t="shared" si="1"/>
        <v>36000</v>
      </c>
      <c r="M10" s="175">
        <f t="shared" si="1"/>
        <v>26970.800000000003</v>
      </c>
    </row>
    <row r="11" spans="1:13" ht="12.75">
      <c r="A11" s="77" t="s">
        <v>124</v>
      </c>
      <c r="B11" s="169" t="s">
        <v>199</v>
      </c>
      <c r="C11" s="626"/>
      <c r="D11" s="170"/>
      <c r="E11" s="170"/>
      <c r="F11" s="170"/>
      <c r="G11" s="170"/>
      <c r="H11" s="170"/>
      <c r="I11" s="170"/>
      <c r="J11" s="170"/>
      <c r="K11" s="170"/>
      <c r="L11" s="170"/>
      <c r="M11" s="170">
        <v>5820.22</v>
      </c>
    </row>
    <row r="12" spans="1:13" ht="12.75">
      <c r="A12" s="77" t="s">
        <v>124</v>
      </c>
      <c r="B12" s="171" t="s">
        <v>200</v>
      </c>
      <c r="C12" s="623" t="s">
        <v>121</v>
      </c>
      <c r="D12" s="172"/>
      <c r="E12" s="172">
        <v>1.2</v>
      </c>
      <c r="F12" s="172"/>
      <c r="G12" s="172">
        <v>18876.6</v>
      </c>
      <c r="H12" s="172">
        <v>1.8</v>
      </c>
      <c r="I12" s="172"/>
      <c r="J12" s="172">
        <v>29375.8</v>
      </c>
      <c r="K12" s="172">
        <v>1.2</v>
      </c>
      <c r="L12" s="172"/>
      <c r="M12" s="172">
        <v>21150.58</v>
      </c>
    </row>
    <row r="13" spans="1:13" ht="12.75">
      <c r="A13" s="77" t="s">
        <v>124</v>
      </c>
      <c r="B13" s="173" t="s">
        <v>201</v>
      </c>
      <c r="C13" s="627" t="s">
        <v>121</v>
      </c>
      <c r="D13" s="628"/>
      <c r="E13" s="174">
        <f>3-0.5</f>
        <v>2.5</v>
      </c>
      <c r="F13" s="174">
        <f>36000-6000</f>
        <v>30000</v>
      </c>
      <c r="G13" s="174"/>
      <c r="H13" s="174"/>
      <c r="I13" s="174"/>
      <c r="J13" s="174"/>
      <c r="K13" s="174">
        <v>2.5</v>
      </c>
      <c r="L13" s="174">
        <v>36000</v>
      </c>
      <c r="M13" s="174"/>
    </row>
    <row r="14" spans="2:13" ht="15" customHeight="1">
      <c r="B14" s="87" t="s">
        <v>202</v>
      </c>
      <c r="C14" s="622"/>
      <c r="D14" s="175"/>
      <c r="E14" s="175">
        <f aca="true" t="shared" si="2" ref="E14:M14">SUM(E15:E17)</f>
        <v>1.91</v>
      </c>
      <c r="F14" s="175">
        <f t="shared" si="2"/>
        <v>0</v>
      </c>
      <c r="G14" s="88">
        <f t="shared" si="2"/>
        <v>14345.3</v>
      </c>
      <c r="H14" s="88">
        <f t="shared" si="2"/>
        <v>0</v>
      </c>
      <c r="I14" s="88">
        <f t="shared" si="2"/>
        <v>0</v>
      </c>
      <c r="J14" s="88">
        <f t="shared" si="2"/>
        <v>0</v>
      </c>
      <c r="K14" s="88">
        <f t="shared" si="2"/>
        <v>0.8</v>
      </c>
      <c r="L14" s="88">
        <f t="shared" si="2"/>
        <v>0</v>
      </c>
      <c r="M14" s="88">
        <f t="shared" si="2"/>
        <v>23000</v>
      </c>
    </row>
    <row r="15" spans="1:13" ht="24">
      <c r="A15" s="77" t="s">
        <v>117</v>
      </c>
      <c r="B15" s="169" t="s">
        <v>12</v>
      </c>
      <c r="C15" s="626"/>
      <c r="D15" s="97"/>
      <c r="E15" s="134"/>
      <c r="F15" s="134"/>
      <c r="G15" s="134"/>
      <c r="H15" s="134"/>
      <c r="I15" s="134"/>
      <c r="J15" s="134"/>
      <c r="K15" s="134" t="s">
        <v>13</v>
      </c>
      <c r="L15" s="134"/>
      <c r="M15" s="134">
        <v>10000</v>
      </c>
    </row>
    <row r="16" spans="1:13" ht="12.75">
      <c r="A16" s="77" t="s">
        <v>124</v>
      </c>
      <c r="B16" s="171" t="s">
        <v>203</v>
      </c>
      <c r="C16" s="624"/>
      <c r="D16" s="629"/>
      <c r="E16" s="178"/>
      <c r="F16" s="178"/>
      <c r="G16" s="178"/>
      <c r="H16" s="178"/>
      <c r="I16" s="178"/>
      <c r="J16" s="178"/>
      <c r="K16" s="178"/>
      <c r="L16" s="178"/>
      <c r="M16" s="178">
        <v>5000</v>
      </c>
    </row>
    <row r="17" spans="1:13" ht="12.75">
      <c r="A17" s="77" t="s">
        <v>124</v>
      </c>
      <c r="B17" s="173" t="s">
        <v>204</v>
      </c>
      <c r="C17" s="627" t="s">
        <v>115</v>
      </c>
      <c r="D17" s="98"/>
      <c r="E17" s="98">
        <v>1.91</v>
      </c>
      <c r="F17" s="98"/>
      <c r="G17" s="98">
        <v>14345.3</v>
      </c>
      <c r="H17" s="98"/>
      <c r="I17" s="98"/>
      <c r="J17" s="98"/>
      <c r="K17" s="278">
        <v>0.8</v>
      </c>
      <c r="L17" s="113"/>
      <c r="M17" s="278">
        <v>8000</v>
      </c>
    </row>
    <row r="18" spans="2:13" ht="14.25">
      <c r="B18" s="87" t="s">
        <v>116</v>
      </c>
      <c r="C18" s="622">
        <v>0</v>
      </c>
      <c r="D18" s="88"/>
      <c r="E18" s="88">
        <f aca="true" t="shared" si="3" ref="E18:M18">SUM(E19:E21)</f>
        <v>1</v>
      </c>
      <c r="F18" s="88">
        <f t="shared" si="3"/>
        <v>0</v>
      </c>
      <c r="G18" s="88">
        <f t="shared" si="3"/>
        <v>14661.699999999999</v>
      </c>
      <c r="H18" s="88">
        <f t="shared" si="3"/>
        <v>3.3</v>
      </c>
      <c r="I18" s="88">
        <f t="shared" si="3"/>
        <v>0</v>
      </c>
      <c r="J18" s="88">
        <f t="shared" si="3"/>
        <v>23029.1</v>
      </c>
      <c r="K18" s="88">
        <f t="shared" si="3"/>
        <v>2</v>
      </c>
      <c r="L18" s="88">
        <f t="shared" si="3"/>
        <v>0</v>
      </c>
      <c r="M18" s="88">
        <f t="shared" si="3"/>
        <v>48643.7</v>
      </c>
    </row>
    <row r="19" spans="1:13" ht="36">
      <c r="A19" s="77" t="s">
        <v>117</v>
      </c>
      <c r="B19" s="189" t="s">
        <v>37</v>
      </c>
      <c r="C19" s="630"/>
      <c r="D19" s="97"/>
      <c r="E19" s="179"/>
      <c r="F19" s="179"/>
      <c r="G19" s="179"/>
      <c r="H19" s="179"/>
      <c r="I19" s="179"/>
      <c r="J19" s="179"/>
      <c r="K19" s="179" t="s">
        <v>14</v>
      </c>
      <c r="L19" s="179"/>
      <c r="M19" s="179">
        <v>12500</v>
      </c>
    </row>
    <row r="20" spans="1:13" ht="24">
      <c r="A20" s="77" t="s">
        <v>117</v>
      </c>
      <c r="B20" s="171" t="s">
        <v>205</v>
      </c>
      <c r="C20" s="630"/>
      <c r="D20" s="97"/>
      <c r="E20" s="97"/>
      <c r="F20" s="97"/>
      <c r="G20" s="97"/>
      <c r="H20" s="97"/>
      <c r="I20" s="97"/>
      <c r="J20" s="97"/>
      <c r="K20" s="97" t="s">
        <v>15</v>
      </c>
      <c r="L20" s="97"/>
      <c r="M20" s="97">
        <v>15000</v>
      </c>
    </row>
    <row r="21" spans="1:13" ht="12.75">
      <c r="A21" s="77" t="s">
        <v>124</v>
      </c>
      <c r="B21" s="171" t="s">
        <v>206</v>
      </c>
      <c r="C21" s="516" t="s">
        <v>115</v>
      </c>
      <c r="D21" s="98"/>
      <c r="E21" s="98">
        <v>1</v>
      </c>
      <c r="F21" s="98"/>
      <c r="G21" s="98">
        <f>14798.3-136.6</f>
        <v>14661.699999999999</v>
      </c>
      <c r="H21" s="98">
        <v>3.3</v>
      </c>
      <c r="I21" s="98"/>
      <c r="J21" s="98">
        <v>23029.1</v>
      </c>
      <c r="K21" s="98">
        <v>2</v>
      </c>
      <c r="L21" s="98"/>
      <c r="M21" s="98">
        <v>21143.7</v>
      </c>
    </row>
    <row r="22" spans="2:13" ht="15.75" customHeight="1">
      <c r="B22" s="631" t="s">
        <v>207</v>
      </c>
      <c r="C22" s="632"/>
      <c r="D22" s="305"/>
      <c r="E22" s="305">
        <f aca="true" t="shared" si="4" ref="E22:M22">SUM(E23:E27)</f>
        <v>4.4</v>
      </c>
      <c r="F22" s="305">
        <f t="shared" si="4"/>
        <v>31137.6</v>
      </c>
      <c r="G22" s="305">
        <f t="shared" si="4"/>
        <v>23398</v>
      </c>
      <c r="H22" s="305">
        <f t="shared" si="4"/>
        <v>2.7</v>
      </c>
      <c r="I22" s="305">
        <f t="shared" si="4"/>
        <v>26000</v>
      </c>
      <c r="J22" s="135">
        <f t="shared" si="4"/>
        <v>31957.5</v>
      </c>
      <c r="K22" s="305">
        <f t="shared" si="4"/>
        <v>5</v>
      </c>
      <c r="L22" s="305">
        <f t="shared" si="4"/>
        <v>61000</v>
      </c>
      <c r="M22" s="305">
        <f t="shared" si="4"/>
        <v>29341</v>
      </c>
    </row>
    <row r="23" spans="1:13" ht="12.75">
      <c r="A23" s="77" t="s">
        <v>124</v>
      </c>
      <c r="B23" s="182" t="s">
        <v>208</v>
      </c>
      <c r="C23" s="633" t="s">
        <v>115</v>
      </c>
      <c r="D23" s="95"/>
      <c r="E23" s="95">
        <v>1.9</v>
      </c>
      <c r="F23" s="95">
        <f>26000-2862.4</f>
        <v>23137.6</v>
      </c>
      <c r="G23" s="95"/>
      <c r="H23" s="95">
        <v>2</v>
      </c>
      <c r="I23" s="95"/>
      <c r="J23" s="95">
        <v>24741.9</v>
      </c>
      <c r="K23" s="279">
        <v>3</v>
      </c>
      <c r="L23" s="279">
        <f>76793.7-40000-6793.7</f>
        <v>29999.999999999996</v>
      </c>
      <c r="M23" s="288"/>
    </row>
    <row r="24" spans="1:13" ht="12.75">
      <c r="A24" s="77" t="s">
        <v>124</v>
      </c>
      <c r="B24" s="183" t="s">
        <v>209</v>
      </c>
      <c r="C24" s="634" t="s">
        <v>115</v>
      </c>
      <c r="D24" s="97"/>
      <c r="E24" s="97">
        <v>2.5</v>
      </c>
      <c r="F24" s="97"/>
      <c r="G24" s="97">
        <f>20535.6+2862.4</f>
        <v>23398</v>
      </c>
      <c r="H24" s="97">
        <v>0.7</v>
      </c>
      <c r="I24" s="97"/>
      <c r="J24" s="97">
        <f>10829.9+21000-31829.9+10829.9-3614.3</f>
        <v>7215.599999999999</v>
      </c>
      <c r="K24" s="281">
        <v>2</v>
      </c>
      <c r="L24" s="281"/>
      <c r="M24" s="281">
        <v>20341</v>
      </c>
    </row>
    <row r="25" spans="1:13" ht="12.75" hidden="1">
      <c r="A25" s="77" t="s">
        <v>124</v>
      </c>
      <c r="B25" s="183" t="s">
        <v>210</v>
      </c>
      <c r="C25" s="634" t="s">
        <v>115</v>
      </c>
      <c r="D25" s="97"/>
      <c r="E25" s="97"/>
      <c r="F25" s="97"/>
      <c r="G25" s="97"/>
      <c r="H25" s="97">
        <f>3.5-3.5</f>
        <v>0</v>
      </c>
      <c r="I25" s="97"/>
      <c r="J25" s="97">
        <f>21127.6+3614.3-24741.9</f>
        <v>0</v>
      </c>
      <c r="K25" s="281">
        <f>2.5-2.5</f>
        <v>0</v>
      </c>
      <c r="L25" s="281"/>
      <c r="M25" s="281">
        <f>20341-20341</f>
        <v>0</v>
      </c>
    </row>
    <row r="26" spans="1:13" ht="12.75">
      <c r="A26" s="77" t="s">
        <v>124</v>
      </c>
      <c r="B26" s="171" t="s">
        <v>203</v>
      </c>
      <c r="C26" s="634"/>
      <c r="D26" s="97"/>
      <c r="E26" s="97"/>
      <c r="F26" s="97"/>
      <c r="G26" s="97"/>
      <c r="H26" s="3"/>
      <c r="I26" s="3"/>
      <c r="J26" s="97"/>
      <c r="K26" s="236"/>
      <c r="L26" s="236"/>
      <c r="M26" s="281">
        <v>9000</v>
      </c>
    </row>
    <row r="27" spans="1:13" ht="24">
      <c r="A27" s="77" t="s">
        <v>117</v>
      </c>
      <c r="B27" s="184" t="s">
        <v>211</v>
      </c>
      <c r="C27" s="516"/>
      <c r="D27" s="98"/>
      <c r="E27" s="98"/>
      <c r="F27" s="98">
        <v>8000</v>
      </c>
      <c r="G27" s="98"/>
      <c r="H27" s="98"/>
      <c r="I27" s="98">
        <v>26000</v>
      </c>
      <c r="J27" s="98"/>
      <c r="K27" s="282" t="s">
        <v>16</v>
      </c>
      <c r="L27" s="282">
        <f>65000-I27-F27</f>
        <v>31000</v>
      </c>
      <c r="M27" s="282"/>
    </row>
    <row r="28" spans="2:13" ht="15" customHeight="1">
      <c r="B28" s="306" t="s">
        <v>120</v>
      </c>
      <c r="C28" s="635"/>
      <c r="D28" s="265"/>
      <c r="E28" s="265">
        <f aca="true" t="shared" si="5" ref="E28:M28">SUM(E29:E32)</f>
        <v>0</v>
      </c>
      <c r="F28" s="265">
        <f t="shared" si="5"/>
        <v>0</v>
      </c>
      <c r="G28" s="265">
        <f t="shared" si="5"/>
        <v>29000</v>
      </c>
      <c r="H28" s="265">
        <f t="shared" si="5"/>
        <v>0</v>
      </c>
      <c r="I28" s="265">
        <f t="shared" si="5"/>
        <v>0</v>
      </c>
      <c r="J28" s="265">
        <f t="shared" si="5"/>
        <v>0</v>
      </c>
      <c r="K28" s="265">
        <f t="shared" si="5"/>
        <v>0</v>
      </c>
      <c r="L28" s="265">
        <f t="shared" si="5"/>
        <v>0</v>
      </c>
      <c r="M28" s="265">
        <f t="shared" si="5"/>
        <v>15000</v>
      </c>
    </row>
    <row r="29" spans="1:13" ht="24">
      <c r="A29" s="77" t="s">
        <v>117</v>
      </c>
      <c r="B29" s="182" t="s">
        <v>212</v>
      </c>
      <c r="C29" s="633"/>
      <c r="D29" s="133"/>
      <c r="E29" s="97"/>
      <c r="F29" s="133"/>
      <c r="G29" s="133"/>
      <c r="H29" s="97"/>
      <c r="I29" s="133"/>
      <c r="J29" s="134"/>
      <c r="K29" s="97" t="s">
        <v>17</v>
      </c>
      <c r="L29" s="133"/>
      <c r="M29" s="134">
        <v>15000</v>
      </c>
    </row>
    <row r="30" spans="1:13" ht="36" hidden="1">
      <c r="A30" s="77" t="s">
        <v>117</v>
      </c>
      <c r="B30" s="277" t="s">
        <v>18</v>
      </c>
      <c r="C30" s="630"/>
      <c r="D30" s="201"/>
      <c r="E30" s="97"/>
      <c r="F30" s="200"/>
      <c r="G30" s="201">
        <f>20000-20000</f>
        <v>0</v>
      </c>
      <c r="H30" s="97"/>
      <c r="I30" s="200"/>
      <c r="J30" s="201"/>
      <c r="K30" s="97"/>
      <c r="L30" s="200"/>
      <c r="M30" s="201"/>
    </row>
    <row r="31" spans="1:13" ht="24" hidden="1">
      <c r="A31" s="77" t="s">
        <v>117</v>
      </c>
      <c r="B31" s="183" t="s">
        <v>20</v>
      </c>
      <c r="C31" s="634"/>
      <c r="D31" s="97" t="s">
        <v>213</v>
      </c>
      <c r="E31" s="97"/>
      <c r="F31" s="185"/>
      <c r="G31" s="178">
        <v>17000</v>
      </c>
      <c r="H31" s="185"/>
      <c r="I31" s="185"/>
      <c r="J31" s="178"/>
      <c r="K31" s="185"/>
      <c r="L31" s="185"/>
      <c r="M31" s="178"/>
    </row>
    <row r="32" spans="1:13" ht="24" hidden="1">
      <c r="A32" s="77" t="s">
        <v>117</v>
      </c>
      <c r="B32" s="183" t="s">
        <v>214</v>
      </c>
      <c r="C32" s="634"/>
      <c r="D32" s="97" t="s">
        <v>215</v>
      </c>
      <c r="E32" s="97"/>
      <c r="F32" s="185"/>
      <c r="G32" s="178">
        <f>16000-4000</f>
        <v>12000</v>
      </c>
      <c r="H32" s="185"/>
      <c r="I32" s="185"/>
      <c r="J32" s="185"/>
      <c r="K32" s="185"/>
      <c r="L32" s="185"/>
      <c r="M32" s="185"/>
    </row>
    <row r="33" spans="2:13" ht="15" customHeight="1">
      <c r="B33" s="181" t="s">
        <v>216</v>
      </c>
      <c r="C33" s="622"/>
      <c r="D33" s="88"/>
      <c r="E33" s="88">
        <f aca="true" t="shared" si="6" ref="E33:M33">SUM(E34:E39)</f>
        <v>2.5999999999999996</v>
      </c>
      <c r="F33" s="88">
        <f t="shared" si="6"/>
        <v>30000</v>
      </c>
      <c r="G33" s="88">
        <f t="shared" si="6"/>
        <v>10789.5</v>
      </c>
      <c r="H33" s="88">
        <f t="shared" si="6"/>
        <v>6.6</v>
      </c>
      <c r="I33" s="88">
        <f t="shared" si="6"/>
        <v>43400</v>
      </c>
      <c r="J33" s="88">
        <f t="shared" si="6"/>
        <v>21600</v>
      </c>
      <c r="K33" s="88">
        <f t="shared" si="6"/>
        <v>4.5</v>
      </c>
      <c r="L33" s="88">
        <f t="shared" si="6"/>
        <v>25775.9</v>
      </c>
      <c r="M33" s="88">
        <f t="shared" si="6"/>
        <v>35775.9</v>
      </c>
    </row>
    <row r="34" spans="1:13" ht="24">
      <c r="A34" s="77" t="s">
        <v>124</v>
      </c>
      <c r="B34" s="182" t="s">
        <v>145</v>
      </c>
      <c r="C34" s="626" t="s">
        <v>217</v>
      </c>
      <c r="D34" s="636"/>
      <c r="E34" s="95">
        <f>2.5-1.5</f>
        <v>1</v>
      </c>
      <c r="F34" s="95">
        <f>50000-50000+20000</f>
        <v>20000</v>
      </c>
      <c r="G34" s="95"/>
      <c r="H34" s="95">
        <f>3.5+2-2</f>
        <v>3.5</v>
      </c>
      <c r="I34" s="95">
        <f>43400+2457-2457</f>
        <v>43400</v>
      </c>
      <c r="J34" s="130"/>
      <c r="K34" s="95">
        <v>2.5</v>
      </c>
      <c r="L34" s="95">
        <v>25775.9</v>
      </c>
      <c r="M34" s="130"/>
    </row>
    <row r="35" spans="1:13" ht="12.75">
      <c r="A35" s="77" t="s">
        <v>124</v>
      </c>
      <c r="B35" s="183" t="s">
        <v>219</v>
      </c>
      <c r="C35" s="634" t="s">
        <v>115</v>
      </c>
      <c r="D35" s="637"/>
      <c r="E35" s="97">
        <v>0.8</v>
      </c>
      <c r="F35" s="97"/>
      <c r="G35" s="97">
        <f>5636.2-600</f>
        <v>5036.2</v>
      </c>
      <c r="H35" s="97">
        <v>3.1</v>
      </c>
      <c r="I35" s="186"/>
      <c r="J35" s="97">
        <f>6600+15000</f>
        <v>21600</v>
      </c>
      <c r="K35" s="97">
        <v>1</v>
      </c>
      <c r="L35" s="186"/>
      <c r="M35" s="97">
        <f>25775.9-5775.9-11000</f>
        <v>9000</v>
      </c>
    </row>
    <row r="36" spans="1:13" ht="15" customHeight="1" hidden="1">
      <c r="A36" s="77" t="s">
        <v>124</v>
      </c>
      <c r="B36" s="183" t="s">
        <v>220</v>
      </c>
      <c r="C36" s="634" t="s">
        <v>115</v>
      </c>
      <c r="D36" s="637"/>
      <c r="E36" s="97">
        <v>0.5</v>
      </c>
      <c r="F36" s="97">
        <v>10000</v>
      </c>
      <c r="G36" s="186"/>
      <c r="H36" s="97"/>
      <c r="I36" s="97"/>
      <c r="J36" s="186"/>
      <c r="K36" s="97"/>
      <c r="L36" s="97"/>
      <c r="M36" s="186"/>
    </row>
    <row r="37" spans="1:13" ht="34.5" customHeight="1">
      <c r="A37" s="77" t="s">
        <v>124</v>
      </c>
      <c r="B37" s="183" t="s">
        <v>221</v>
      </c>
      <c r="C37" s="634" t="s">
        <v>121</v>
      </c>
      <c r="D37" s="97"/>
      <c r="E37" s="97">
        <v>0.3</v>
      </c>
      <c r="F37" s="97"/>
      <c r="G37" s="97">
        <f>4500+653.3</f>
        <v>5153.3</v>
      </c>
      <c r="H37" s="97"/>
      <c r="I37" s="97"/>
      <c r="J37" s="97"/>
      <c r="K37" s="97">
        <v>1</v>
      </c>
      <c r="L37" s="97"/>
      <c r="M37" s="97">
        <f>5775.9+11000</f>
        <v>16775.9</v>
      </c>
    </row>
    <row r="38" spans="2:13" ht="34.5" customHeight="1" hidden="1">
      <c r="B38" s="171" t="s">
        <v>413</v>
      </c>
      <c r="C38" s="638"/>
      <c r="D38" s="129"/>
      <c r="E38" s="129"/>
      <c r="F38" s="129"/>
      <c r="G38" s="129">
        <v>600</v>
      </c>
      <c r="H38" s="129"/>
      <c r="I38" s="129"/>
      <c r="J38" s="129"/>
      <c r="K38" s="129"/>
      <c r="L38" s="129"/>
      <c r="M38" s="129"/>
    </row>
    <row r="39" spans="1:13" ht="24">
      <c r="A39" s="77" t="s">
        <v>117</v>
      </c>
      <c r="B39" s="184" t="s">
        <v>222</v>
      </c>
      <c r="C39" s="627"/>
      <c r="D39" s="98"/>
      <c r="E39" s="98"/>
      <c r="F39" s="98"/>
      <c r="G39" s="98"/>
      <c r="H39" s="98"/>
      <c r="I39" s="98"/>
      <c r="J39" s="98"/>
      <c r="K39" s="98" t="s">
        <v>21</v>
      </c>
      <c r="L39" s="98"/>
      <c r="M39" s="98">
        <v>10000</v>
      </c>
    </row>
    <row r="40" spans="2:13" ht="14.25">
      <c r="B40" s="181" t="s">
        <v>223</v>
      </c>
      <c r="C40" s="639"/>
      <c r="D40" s="187"/>
      <c r="E40" s="187"/>
      <c r="F40" s="187"/>
      <c r="G40" s="187"/>
      <c r="H40" s="132">
        <f>+H43</f>
        <v>1.8</v>
      </c>
      <c r="I40" s="132">
        <f>+I43+I41</f>
        <v>12600.000000000002</v>
      </c>
      <c r="J40" s="132">
        <f>+J43+J41</f>
        <v>13387.8</v>
      </c>
      <c r="K40" s="132">
        <f>+K43+K41+K42</f>
        <v>1.5</v>
      </c>
      <c r="L40" s="132">
        <f>+L43+L41</f>
        <v>0</v>
      </c>
      <c r="M40" s="132">
        <f>+M43+M41+M42</f>
        <v>17860.1</v>
      </c>
    </row>
    <row r="41" spans="1:13" ht="24">
      <c r="A41" s="77" t="s">
        <v>117</v>
      </c>
      <c r="B41" s="171" t="s">
        <v>224</v>
      </c>
      <c r="C41" s="623"/>
      <c r="D41" s="97"/>
      <c r="E41" s="97"/>
      <c r="F41" s="97"/>
      <c r="G41" s="97"/>
      <c r="H41" s="97" t="s">
        <v>225</v>
      </c>
      <c r="I41" s="97">
        <f>19416.9-6816.9</f>
        <v>12600.000000000002</v>
      </c>
      <c r="J41" s="97"/>
      <c r="K41" s="97"/>
      <c r="L41" s="97"/>
      <c r="M41" s="97"/>
    </row>
    <row r="42" spans="2:13" ht="12.75">
      <c r="B42" s="171" t="s">
        <v>203</v>
      </c>
      <c r="C42" s="624"/>
      <c r="D42" s="129"/>
      <c r="E42" s="129"/>
      <c r="F42" s="129"/>
      <c r="G42" s="129"/>
      <c r="H42" s="129"/>
      <c r="I42" s="129"/>
      <c r="J42" s="129"/>
      <c r="K42" s="129"/>
      <c r="L42" s="129"/>
      <c r="M42" s="129">
        <v>4000</v>
      </c>
    </row>
    <row r="43" spans="1:13" ht="12.75">
      <c r="A43" s="77" t="s">
        <v>124</v>
      </c>
      <c r="B43" s="173" t="s">
        <v>226</v>
      </c>
      <c r="C43" s="627" t="s">
        <v>115</v>
      </c>
      <c r="D43" s="98"/>
      <c r="E43" s="98"/>
      <c r="F43" s="98"/>
      <c r="G43" s="98"/>
      <c r="H43" s="98">
        <v>1.8</v>
      </c>
      <c r="I43" s="98"/>
      <c r="J43" s="98">
        <v>13387.8</v>
      </c>
      <c r="K43" s="282">
        <v>1.5</v>
      </c>
      <c r="L43" s="282"/>
      <c r="M43" s="282">
        <v>13860.1</v>
      </c>
    </row>
    <row r="44" spans="2:13" ht="14.25">
      <c r="B44" s="87" t="s">
        <v>404</v>
      </c>
      <c r="C44" s="88"/>
      <c r="D44" s="88"/>
      <c r="E44" s="88">
        <f>E45+E46+E48</f>
        <v>2.975</v>
      </c>
      <c r="F44" s="88">
        <f aca="true" t="shared" si="7" ref="F44:M44">SUM(F45:F48)</f>
        <v>30000</v>
      </c>
      <c r="G44" s="88">
        <f t="shared" si="7"/>
        <v>16379.3</v>
      </c>
      <c r="H44" s="88">
        <f t="shared" si="7"/>
        <v>5.48</v>
      </c>
      <c r="I44" s="88">
        <f t="shared" si="7"/>
        <v>0</v>
      </c>
      <c r="J44" s="88">
        <f t="shared" si="7"/>
        <v>51498.8</v>
      </c>
      <c r="K44" s="88">
        <f t="shared" si="7"/>
        <v>5.1</v>
      </c>
      <c r="L44" s="88">
        <f t="shared" si="7"/>
        <v>40000</v>
      </c>
      <c r="M44" s="88">
        <f t="shared" si="7"/>
        <v>23411.2</v>
      </c>
    </row>
    <row r="45" spans="1:13" ht="12.75">
      <c r="A45" s="77" t="s">
        <v>117</v>
      </c>
      <c r="B45" s="169" t="s">
        <v>22</v>
      </c>
      <c r="C45" s="626"/>
      <c r="D45" s="95"/>
      <c r="E45" s="95"/>
      <c r="F45" s="95"/>
      <c r="G45" s="95"/>
      <c r="H45" s="97" t="s">
        <v>23</v>
      </c>
      <c r="I45" s="95"/>
      <c r="J45" s="95">
        <v>10000</v>
      </c>
      <c r="K45" s="97"/>
      <c r="L45" s="95"/>
      <c r="M45" s="95"/>
    </row>
    <row r="46" spans="1:13" ht="12.75">
      <c r="A46" s="77" t="s">
        <v>124</v>
      </c>
      <c r="B46" s="171" t="s">
        <v>227</v>
      </c>
      <c r="C46" s="634" t="s">
        <v>115</v>
      </c>
      <c r="D46" s="97"/>
      <c r="E46" s="97">
        <v>1.475</v>
      </c>
      <c r="F46" s="97"/>
      <c r="G46" s="97">
        <f>16385.3-6</f>
        <v>16379.3</v>
      </c>
      <c r="H46" s="97">
        <v>3.6</v>
      </c>
      <c r="I46" s="97"/>
      <c r="J46" s="97">
        <v>25498.8</v>
      </c>
      <c r="K46" s="97">
        <v>3.1</v>
      </c>
      <c r="L46" s="97"/>
      <c r="M46" s="97">
        <v>23411.2</v>
      </c>
    </row>
    <row r="47" spans="1:13" ht="12.75">
      <c r="A47" s="77" t="s">
        <v>124</v>
      </c>
      <c r="B47" s="188" t="s">
        <v>228</v>
      </c>
      <c r="C47" s="624" t="s">
        <v>121</v>
      </c>
      <c r="D47" s="129"/>
      <c r="E47" s="129"/>
      <c r="F47" s="129"/>
      <c r="G47" s="129"/>
      <c r="H47" s="129">
        <v>1.88</v>
      </c>
      <c r="I47" s="129"/>
      <c r="J47" s="129">
        <v>16000</v>
      </c>
      <c r="K47" s="129"/>
      <c r="L47" s="129"/>
      <c r="M47" s="129"/>
    </row>
    <row r="48" spans="1:13" ht="24">
      <c r="A48" s="77" t="s">
        <v>124</v>
      </c>
      <c r="B48" s="173" t="s">
        <v>229</v>
      </c>
      <c r="C48" s="624" t="s">
        <v>121</v>
      </c>
      <c r="D48" s="98"/>
      <c r="E48" s="98">
        <v>1.5</v>
      </c>
      <c r="F48" s="98">
        <v>30000</v>
      </c>
      <c r="G48" s="98"/>
      <c r="H48" s="98"/>
      <c r="I48" s="98"/>
      <c r="J48" s="98"/>
      <c r="K48" s="98">
        <v>2</v>
      </c>
      <c r="L48" s="98">
        <v>40000</v>
      </c>
      <c r="M48" s="98"/>
    </row>
    <row r="49" spans="2:13" ht="14.25">
      <c r="B49" s="87" t="s">
        <v>231</v>
      </c>
      <c r="C49" s="640"/>
      <c r="D49" s="251">
        <f aca="true" t="shared" si="8" ref="D49:J49">D50</f>
        <v>0</v>
      </c>
      <c r="E49" s="251">
        <f t="shared" si="8"/>
        <v>0</v>
      </c>
      <c r="F49" s="251">
        <f t="shared" si="8"/>
        <v>0</v>
      </c>
      <c r="G49" s="251">
        <f t="shared" si="8"/>
        <v>0</v>
      </c>
      <c r="H49" s="251">
        <f t="shared" si="8"/>
        <v>0</v>
      </c>
      <c r="I49" s="251">
        <f t="shared" si="8"/>
        <v>0</v>
      </c>
      <c r="J49" s="251">
        <f t="shared" si="8"/>
        <v>0</v>
      </c>
      <c r="K49" s="251"/>
      <c r="L49" s="251">
        <f>L50</f>
        <v>0</v>
      </c>
      <c r="M49" s="280">
        <f>M50</f>
        <v>12000</v>
      </c>
    </row>
    <row r="50" spans="1:13" ht="24">
      <c r="A50" s="77" t="s">
        <v>117</v>
      </c>
      <c r="B50" s="169" t="s">
        <v>232</v>
      </c>
      <c r="C50" s="641"/>
      <c r="D50" s="133"/>
      <c r="E50" s="133"/>
      <c r="F50" s="133"/>
      <c r="G50" s="133"/>
      <c r="H50" s="97"/>
      <c r="I50" s="133"/>
      <c r="J50" s="134"/>
      <c r="K50" s="97" t="s">
        <v>24</v>
      </c>
      <c r="L50" s="133"/>
      <c r="M50" s="134">
        <v>12000</v>
      </c>
    </row>
    <row r="51" spans="2:13" ht="14.25">
      <c r="B51" s="87" t="s">
        <v>122</v>
      </c>
      <c r="C51" s="622"/>
      <c r="D51" s="88"/>
      <c r="E51" s="88">
        <f aca="true" t="shared" si="9" ref="E51:M51">SUM(E52:E53)</f>
        <v>0</v>
      </c>
      <c r="F51" s="88">
        <f t="shared" si="9"/>
        <v>0</v>
      </c>
      <c r="G51" s="88">
        <f t="shared" si="9"/>
        <v>0</v>
      </c>
      <c r="H51" s="88">
        <f t="shared" si="9"/>
        <v>4</v>
      </c>
      <c r="I51" s="88">
        <f t="shared" si="9"/>
        <v>0</v>
      </c>
      <c r="J51" s="88">
        <f t="shared" si="9"/>
        <v>29711.7</v>
      </c>
      <c r="K51" s="88">
        <f t="shared" si="9"/>
        <v>1.6</v>
      </c>
      <c r="L51" s="88">
        <f t="shared" si="9"/>
        <v>0</v>
      </c>
      <c r="M51" s="88">
        <f t="shared" si="9"/>
        <v>13279.2</v>
      </c>
    </row>
    <row r="52" spans="1:13" ht="24">
      <c r="A52" s="77" t="s">
        <v>124</v>
      </c>
      <c r="B52" s="169" t="s">
        <v>233</v>
      </c>
      <c r="C52" s="626" t="s">
        <v>115</v>
      </c>
      <c r="D52" s="642"/>
      <c r="E52" s="642"/>
      <c r="F52" s="642"/>
      <c r="G52" s="133"/>
      <c r="H52" s="95">
        <v>4</v>
      </c>
      <c r="I52" s="133"/>
      <c r="J52" s="95">
        <v>29711.7</v>
      </c>
      <c r="K52" s="95"/>
      <c r="L52" s="133"/>
      <c r="M52" s="95"/>
    </row>
    <row r="53" spans="1:13" ht="12.75">
      <c r="A53" s="77" t="s">
        <v>124</v>
      </c>
      <c r="B53" s="171" t="s">
        <v>234</v>
      </c>
      <c r="C53" s="624" t="s">
        <v>121</v>
      </c>
      <c r="D53" s="643"/>
      <c r="E53" s="643"/>
      <c r="F53" s="643"/>
      <c r="G53" s="185"/>
      <c r="H53" s="97"/>
      <c r="I53" s="185"/>
      <c r="J53" s="97"/>
      <c r="K53" s="97">
        <v>1.6</v>
      </c>
      <c r="L53" s="185"/>
      <c r="M53" s="97">
        <v>13279.2</v>
      </c>
    </row>
    <row r="54" spans="2:13" ht="16.5" customHeight="1">
      <c r="B54" s="87" t="s">
        <v>236</v>
      </c>
      <c r="C54" s="622"/>
      <c r="D54" s="88"/>
      <c r="E54" s="88">
        <f aca="true" t="shared" si="10" ref="E54:M54">SUM(E55:E60)</f>
        <v>0.5</v>
      </c>
      <c r="F54" s="88">
        <f t="shared" si="10"/>
        <v>3000</v>
      </c>
      <c r="G54" s="88">
        <f t="shared" si="10"/>
        <v>16275.7</v>
      </c>
      <c r="H54" s="88">
        <f t="shared" si="10"/>
        <v>1.7</v>
      </c>
      <c r="I54" s="88">
        <f t="shared" si="10"/>
        <v>4000</v>
      </c>
      <c r="J54" s="88">
        <f t="shared" si="10"/>
        <v>51712.1</v>
      </c>
      <c r="K54" s="88">
        <f t="shared" si="10"/>
        <v>3</v>
      </c>
      <c r="L54" s="88">
        <f t="shared" si="10"/>
        <v>0</v>
      </c>
      <c r="M54" s="88">
        <f t="shared" si="10"/>
        <v>52867</v>
      </c>
    </row>
    <row r="55" spans="1:13" ht="12.75">
      <c r="A55" s="77" t="s">
        <v>124</v>
      </c>
      <c r="B55" s="169" t="s">
        <v>237</v>
      </c>
      <c r="C55" s="626" t="s">
        <v>115</v>
      </c>
      <c r="D55" s="170"/>
      <c r="E55" s="95">
        <v>0.5</v>
      </c>
      <c r="F55" s="95"/>
      <c r="G55" s="95">
        <f>6803.8-528.1</f>
        <v>6275.7</v>
      </c>
      <c r="H55" s="170">
        <v>1.7</v>
      </c>
      <c r="I55" s="170"/>
      <c r="J55" s="170">
        <v>19712.1</v>
      </c>
      <c r="K55" s="170">
        <v>3</v>
      </c>
      <c r="L55" s="170" t="s">
        <v>347</v>
      </c>
      <c r="M55" s="170">
        <v>34297</v>
      </c>
    </row>
    <row r="56" spans="1:13" ht="12.75" hidden="1">
      <c r="A56" s="77" t="s">
        <v>124</v>
      </c>
      <c r="B56" s="189" t="s">
        <v>238</v>
      </c>
      <c r="C56" s="623" t="s">
        <v>115</v>
      </c>
      <c r="D56" s="180"/>
      <c r="E56" s="179"/>
      <c r="F56" s="179"/>
      <c r="G56" s="179"/>
      <c r="H56" s="180">
        <f>2.8-2.8</f>
        <v>0</v>
      </c>
      <c r="I56" s="180"/>
      <c r="J56" s="180">
        <f>19712.1-19712.1</f>
        <v>0</v>
      </c>
      <c r="K56" s="180"/>
      <c r="L56" s="180"/>
      <c r="M56" s="180"/>
    </row>
    <row r="57" spans="1:13" ht="24">
      <c r="A57" s="77" t="s">
        <v>117</v>
      </c>
      <c r="B57" s="171" t="s">
        <v>136</v>
      </c>
      <c r="C57" s="623"/>
      <c r="D57" s="172"/>
      <c r="E57" s="172"/>
      <c r="F57" s="172"/>
      <c r="G57" s="172">
        <v>5000</v>
      </c>
      <c r="H57" s="97" t="s">
        <v>239</v>
      </c>
      <c r="I57" s="172"/>
      <c r="J57" s="172">
        <v>15000</v>
      </c>
      <c r="K57" s="97"/>
      <c r="L57" s="172"/>
      <c r="M57" s="172"/>
    </row>
    <row r="58" spans="1:13" ht="24">
      <c r="A58" s="77" t="s">
        <v>117</v>
      </c>
      <c r="B58" s="171" t="s">
        <v>240</v>
      </c>
      <c r="C58" s="623"/>
      <c r="D58" s="172"/>
      <c r="E58" s="172"/>
      <c r="F58" s="172"/>
      <c r="G58" s="172"/>
      <c r="H58" s="172"/>
      <c r="I58" s="172"/>
      <c r="J58" s="172"/>
      <c r="K58" s="172"/>
      <c r="L58" s="172"/>
      <c r="M58" s="172">
        <v>14570</v>
      </c>
    </row>
    <row r="59" spans="1:13" ht="12.75">
      <c r="A59" s="77" t="s">
        <v>117</v>
      </c>
      <c r="B59" s="171" t="s">
        <v>241</v>
      </c>
      <c r="C59" s="623"/>
      <c r="D59" s="172"/>
      <c r="E59" s="172"/>
      <c r="F59" s="172"/>
      <c r="G59" s="172">
        <v>5000</v>
      </c>
      <c r="H59" s="97" t="s">
        <v>242</v>
      </c>
      <c r="I59" s="172"/>
      <c r="J59" s="172">
        <v>17000</v>
      </c>
      <c r="K59" s="97"/>
      <c r="L59" s="172"/>
      <c r="M59" s="172"/>
    </row>
    <row r="60" spans="1:13" ht="12.75">
      <c r="A60" s="77" t="s">
        <v>124</v>
      </c>
      <c r="B60" s="173" t="s">
        <v>203</v>
      </c>
      <c r="C60" s="516"/>
      <c r="D60" s="98"/>
      <c r="E60" s="98"/>
      <c r="F60" s="98">
        <v>3000</v>
      </c>
      <c r="G60" s="98"/>
      <c r="H60" s="98"/>
      <c r="I60" s="98">
        <v>4000</v>
      </c>
      <c r="J60" s="98"/>
      <c r="K60" s="98"/>
      <c r="L60" s="98"/>
      <c r="M60" s="98">
        <v>4000</v>
      </c>
    </row>
    <row r="61" spans="2:13" ht="15" customHeight="1">
      <c r="B61" s="87" t="s">
        <v>243</v>
      </c>
      <c r="C61" s="622"/>
      <c r="D61" s="175"/>
      <c r="E61" s="175">
        <f aca="true" t="shared" si="11" ref="E61:M61">SUM(E62:E62)</f>
        <v>3.6</v>
      </c>
      <c r="F61" s="175">
        <f t="shared" si="11"/>
        <v>0</v>
      </c>
      <c r="G61" s="88">
        <f t="shared" si="11"/>
        <v>23354.3</v>
      </c>
      <c r="H61" s="88">
        <f t="shared" si="11"/>
        <v>5.2</v>
      </c>
      <c r="I61" s="88">
        <f t="shared" si="11"/>
        <v>0</v>
      </c>
      <c r="J61" s="88">
        <f t="shared" si="11"/>
        <v>44507.3</v>
      </c>
      <c r="K61" s="88">
        <f t="shared" si="11"/>
        <v>3.5</v>
      </c>
      <c r="L61" s="88">
        <f t="shared" si="11"/>
        <v>0</v>
      </c>
      <c r="M61" s="88">
        <f t="shared" si="11"/>
        <v>40863.4</v>
      </c>
    </row>
    <row r="62" spans="1:13" ht="36" customHeight="1">
      <c r="A62" s="77" t="s">
        <v>124</v>
      </c>
      <c r="B62" s="644" t="s">
        <v>244</v>
      </c>
      <c r="C62" s="516" t="s">
        <v>115</v>
      </c>
      <c r="D62" s="98"/>
      <c r="E62" s="98">
        <v>3.6</v>
      </c>
      <c r="F62" s="98"/>
      <c r="G62" s="98">
        <f>30109-6512.2-242.5</f>
        <v>23354.3</v>
      </c>
      <c r="H62" s="98">
        <v>5.2</v>
      </c>
      <c r="I62" s="98"/>
      <c r="J62" s="98">
        <v>44507.3</v>
      </c>
      <c r="K62" s="282">
        <v>3.5</v>
      </c>
      <c r="L62" s="282"/>
      <c r="M62" s="282">
        <v>40863.4</v>
      </c>
    </row>
    <row r="63" spans="2:13" ht="14.25">
      <c r="B63" s="87" t="s">
        <v>245</v>
      </c>
      <c r="C63" s="622"/>
      <c r="D63" s="88"/>
      <c r="E63" s="88">
        <f>E72+E67</f>
        <v>0.38</v>
      </c>
      <c r="F63" s="88">
        <f>F72+F67</f>
        <v>0</v>
      </c>
      <c r="G63" s="88">
        <f>G72+G67</f>
        <v>11160.9</v>
      </c>
      <c r="H63" s="88">
        <f aca="true" t="shared" si="12" ref="H63:M63">SUM(H64:H72)</f>
        <v>2</v>
      </c>
      <c r="I63" s="88">
        <f t="shared" si="12"/>
        <v>0</v>
      </c>
      <c r="J63" s="88">
        <f t="shared" si="12"/>
        <v>46545.3</v>
      </c>
      <c r="K63" s="88">
        <f t="shared" si="12"/>
        <v>1</v>
      </c>
      <c r="L63" s="88">
        <f t="shared" si="12"/>
        <v>0</v>
      </c>
      <c r="M63" s="88">
        <f t="shared" si="12"/>
        <v>48726.2</v>
      </c>
    </row>
    <row r="64" spans="1:13" ht="12.75">
      <c r="A64" s="77" t="s">
        <v>117</v>
      </c>
      <c r="B64" s="645" t="s">
        <v>25</v>
      </c>
      <c r="C64" s="646"/>
      <c r="D64" s="133"/>
      <c r="E64" s="133"/>
      <c r="F64" s="133"/>
      <c r="G64" s="133"/>
      <c r="H64" s="134" t="s">
        <v>26</v>
      </c>
      <c r="I64" s="133"/>
      <c r="J64" s="134">
        <v>6480.1</v>
      </c>
      <c r="K64" s="133"/>
      <c r="L64" s="133"/>
      <c r="M64" s="134"/>
    </row>
    <row r="65" spans="1:13" ht="24">
      <c r="A65" s="77" t="s">
        <v>117</v>
      </c>
      <c r="B65" s="647" t="s">
        <v>246</v>
      </c>
      <c r="C65" s="648"/>
      <c r="D65" s="185"/>
      <c r="E65" s="185"/>
      <c r="F65" s="185"/>
      <c r="G65" s="185"/>
      <c r="H65" s="185"/>
      <c r="I65" s="185"/>
      <c r="J65" s="178"/>
      <c r="K65" s="178" t="s">
        <v>27</v>
      </c>
      <c r="L65" s="185"/>
      <c r="M65" s="178">
        <v>7000</v>
      </c>
    </row>
    <row r="66" spans="1:13" ht="24">
      <c r="A66" s="77" t="s">
        <v>117</v>
      </c>
      <c r="B66" s="647" t="s">
        <v>247</v>
      </c>
      <c r="C66" s="648"/>
      <c r="D66" s="185"/>
      <c r="E66" s="185"/>
      <c r="F66" s="185"/>
      <c r="G66" s="185"/>
      <c r="H66" s="185"/>
      <c r="I66" s="185"/>
      <c r="J66" s="178"/>
      <c r="K66" s="178" t="s">
        <v>28</v>
      </c>
      <c r="L66" s="185"/>
      <c r="M66" s="178">
        <v>10000</v>
      </c>
    </row>
    <row r="67" spans="1:13" ht="24">
      <c r="A67" s="77" t="s">
        <v>117</v>
      </c>
      <c r="B67" s="647" t="s">
        <v>480</v>
      </c>
      <c r="C67" s="648"/>
      <c r="D67" s="97"/>
      <c r="E67" s="97"/>
      <c r="F67" s="185"/>
      <c r="G67" s="178">
        <v>6000</v>
      </c>
      <c r="H67" s="97" t="s">
        <v>248</v>
      </c>
      <c r="I67" s="185"/>
      <c r="J67" s="178">
        <v>12000</v>
      </c>
      <c r="K67" s="185"/>
      <c r="L67" s="185"/>
      <c r="M67" s="185"/>
    </row>
    <row r="68" spans="1:13" ht="24">
      <c r="A68" s="77" t="s">
        <v>124</v>
      </c>
      <c r="B68" s="651" t="s">
        <v>402</v>
      </c>
      <c r="C68" s="649"/>
      <c r="D68" s="650"/>
      <c r="E68" s="650"/>
      <c r="F68" s="324"/>
      <c r="G68" s="650"/>
      <c r="H68" s="324"/>
      <c r="I68" s="324"/>
      <c r="J68" s="324"/>
      <c r="K68" s="324"/>
      <c r="L68" s="324"/>
      <c r="M68" s="325">
        <v>3000</v>
      </c>
    </row>
    <row r="69" spans="1:13" ht="24">
      <c r="A69" s="77" t="s">
        <v>124</v>
      </c>
      <c r="B69" s="651" t="s">
        <v>401</v>
      </c>
      <c r="C69" s="649"/>
      <c r="D69" s="650"/>
      <c r="E69" s="650"/>
      <c r="F69" s="324"/>
      <c r="G69" s="650"/>
      <c r="H69" s="324"/>
      <c r="I69" s="324"/>
      <c r="J69" s="324"/>
      <c r="K69" s="324"/>
      <c r="L69" s="324"/>
      <c r="M69" s="325">
        <v>5000</v>
      </c>
    </row>
    <row r="70" spans="1:13" ht="24">
      <c r="A70" s="77" t="s">
        <v>124</v>
      </c>
      <c r="B70" s="651" t="s">
        <v>400</v>
      </c>
      <c r="C70" s="649"/>
      <c r="D70" s="650"/>
      <c r="E70" s="650"/>
      <c r="F70" s="324"/>
      <c r="G70" s="650"/>
      <c r="H70" s="324"/>
      <c r="I70" s="324"/>
      <c r="J70" s="324"/>
      <c r="K70" s="324"/>
      <c r="L70" s="324"/>
      <c r="M70" s="325">
        <v>5000</v>
      </c>
    </row>
    <row r="71" spans="1:13" ht="24">
      <c r="A71" s="77" t="s">
        <v>124</v>
      </c>
      <c r="B71" s="651" t="s">
        <v>399</v>
      </c>
      <c r="C71" s="649"/>
      <c r="D71" s="650"/>
      <c r="E71" s="650"/>
      <c r="F71" s="324"/>
      <c r="G71" s="650"/>
      <c r="H71" s="324"/>
      <c r="I71" s="324"/>
      <c r="J71" s="324"/>
      <c r="K71" s="324"/>
      <c r="L71" s="324"/>
      <c r="M71" s="325">
        <v>3000</v>
      </c>
    </row>
    <row r="72" spans="1:13" ht="24">
      <c r="A72" s="77" t="s">
        <v>124</v>
      </c>
      <c r="B72" s="652" t="s">
        <v>249</v>
      </c>
      <c r="C72" s="516" t="s">
        <v>250</v>
      </c>
      <c r="D72" s="191"/>
      <c r="E72" s="98">
        <v>0.38</v>
      </c>
      <c r="F72" s="98"/>
      <c r="G72" s="98">
        <f>5204.9-44</f>
        <v>5160.9</v>
      </c>
      <c r="H72" s="191">
        <v>2</v>
      </c>
      <c r="I72" s="191"/>
      <c r="J72" s="191">
        <f>30272-2206.8</f>
        <v>28065.2</v>
      </c>
      <c r="K72" s="191">
        <v>1</v>
      </c>
      <c r="L72" s="191"/>
      <c r="M72" s="191">
        <v>15726.2</v>
      </c>
    </row>
    <row r="73" spans="2:13" ht="14.25">
      <c r="B73" s="87" t="s">
        <v>251</v>
      </c>
      <c r="C73" s="622"/>
      <c r="D73" s="88"/>
      <c r="E73" s="88">
        <f>SUM(E74:E78)</f>
        <v>0.425</v>
      </c>
      <c r="F73" s="88">
        <f>SUM(F74:F78)</f>
        <v>0</v>
      </c>
      <c r="G73" s="88">
        <f>SUM(G74:G78)</f>
        <v>35939.6</v>
      </c>
      <c r="H73" s="88">
        <f>SUM(H75:H78)</f>
        <v>5.1</v>
      </c>
      <c r="I73" s="88">
        <f>SUM(I74:I78)</f>
        <v>35391.1</v>
      </c>
      <c r="J73" s="88">
        <f>SUM(J75:J78)</f>
        <v>16554.9</v>
      </c>
      <c r="K73" s="88">
        <f>SUM(K75:K78)</f>
        <v>0</v>
      </c>
      <c r="L73" s="88">
        <f>SUM(L75:L78)</f>
        <v>0</v>
      </c>
      <c r="M73" s="88">
        <f>SUM(M75:M78)</f>
        <v>0</v>
      </c>
    </row>
    <row r="74" spans="1:13" ht="24" hidden="1">
      <c r="A74" s="77" t="s">
        <v>117</v>
      </c>
      <c r="B74" s="169" t="s">
        <v>398</v>
      </c>
      <c r="C74" s="646"/>
      <c r="D74" s="653" t="s">
        <v>29</v>
      </c>
      <c r="E74" s="642"/>
      <c r="F74" s="642"/>
      <c r="G74" s="134">
        <v>17994.7</v>
      </c>
      <c r="H74" s="133"/>
      <c r="I74" s="133"/>
      <c r="J74" s="133"/>
      <c r="K74" s="133"/>
      <c r="L74" s="133"/>
      <c r="M74" s="133"/>
    </row>
    <row r="75" spans="1:13" ht="24">
      <c r="A75" s="77" t="s">
        <v>117</v>
      </c>
      <c r="B75" s="171" t="s">
        <v>252</v>
      </c>
      <c r="C75" s="648"/>
      <c r="D75" s="643"/>
      <c r="E75" s="185"/>
      <c r="F75" s="185"/>
      <c r="G75" s="185"/>
      <c r="H75" s="97" t="s">
        <v>30</v>
      </c>
      <c r="I75" s="178">
        <f>10000-1000-1000</f>
        <v>8000</v>
      </c>
      <c r="J75" s="185"/>
      <c r="K75" s="97"/>
      <c r="L75" s="178"/>
      <c r="M75" s="185"/>
    </row>
    <row r="76" spans="2:13" ht="24" hidden="1">
      <c r="B76" s="171" t="s">
        <v>2</v>
      </c>
      <c r="C76" s="648"/>
      <c r="D76" s="643"/>
      <c r="E76" s="185"/>
      <c r="F76" s="185"/>
      <c r="G76" s="97">
        <v>9955.2</v>
      </c>
      <c r="H76" s="97"/>
      <c r="I76" s="178"/>
      <c r="J76" s="185"/>
      <c r="K76" s="97"/>
      <c r="L76" s="178"/>
      <c r="M76" s="185"/>
    </row>
    <row r="77" spans="1:13" ht="12.75">
      <c r="A77" s="77" t="s">
        <v>124</v>
      </c>
      <c r="B77" s="171" t="s">
        <v>253</v>
      </c>
      <c r="C77" s="634" t="s">
        <v>121</v>
      </c>
      <c r="D77" s="97"/>
      <c r="E77" s="97">
        <v>0.425</v>
      </c>
      <c r="F77" s="97"/>
      <c r="G77" s="97">
        <f>8000-10.3</f>
        <v>7989.7</v>
      </c>
      <c r="H77" s="97">
        <v>1.9</v>
      </c>
      <c r="I77" s="97"/>
      <c r="J77" s="97">
        <v>16554.9</v>
      </c>
      <c r="K77" s="97"/>
      <c r="L77" s="97"/>
      <c r="M77" s="97"/>
    </row>
    <row r="78" spans="1:13" ht="15.75" customHeight="1">
      <c r="A78" s="77" t="s">
        <v>124</v>
      </c>
      <c r="B78" s="171" t="s">
        <v>254</v>
      </c>
      <c r="C78" s="634" t="s">
        <v>121</v>
      </c>
      <c r="D78" s="97"/>
      <c r="E78" s="97"/>
      <c r="F78" s="97"/>
      <c r="G78" s="97"/>
      <c r="H78" s="97">
        <v>3.2</v>
      </c>
      <c r="I78" s="97">
        <v>27391.1</v>
      </c>
      <c r="J78" s="97"/>
      <c r="K78" s="97"/>
      <c r="L78" s="97"/>
      <c r="M78" s="97"/>
    </row>
    <row r="79" spans="2:13" ht="14.25">
      <c r="B79" s="87" t="s">
        <v>255</v>
      </c>
      <c r="C79" s="622"/>
      <c r="D79" s="88"/>
      <c r="E79" s="88">
        <f>SUM(E81:E81)</f>
        <v>1.35</v>
      </c>
      <c r="F79" s="88">
        <f>SUM(F81:F81)</f>
        <v>0</v>
      </c>
      <c r="G79" s="88">
        <f>SUM(G81:G81)</f>
        <v>10201.8</v>
      </c>
      <c r="H79" s="88">
        <f>H80+H81</f>
        <v>0</v>
      </c>
      <c r="I79" s="88">
        <f>I80+I81</f>
        <v>0</v>
      </c>
      <c r="J79" s="88">
        <f>J80+J81+J82</f>
        <v>10000</v>
      </c>
      <c r="K79" s="88">
        <f>K80+K81+K82</f>
        <v>2.7</v>
      </c>
      <c r="L79" s="88">
        <f>L80+L81+L82</f>
        <v>0</v>
      </c>
      <c r="M79" s="88">
        <f>M80+M81+M82</f>
        <v>21575.9</v>
      </c>
    </row>
    <row r="80" spans="2:13" ht="12.75">
      <c r="B80" s="171" t="s">
        <v>203</v>
      </c>
      <c r="C80" s="654"/>
      <c r="D80" s="199"/>
      <c r="E80" s="199"/>
      <c r="F80" s="133"/>
      <c r="G80" s="133"/>
      <c r="H80" s="133"/>
      <c r="I80" s="133"/>
      <c r="J80" s="95">
        <f>15000-5000</f>
        <v>10000</v>
      </c>
      <c r="K80" s="133"/>
      <c r="L80" s="133"/>
      <c r="M80" s="133"/>
    </row>
    <row r="81" spans="1:13" ht="24" hidden="1">
      <c r="A81" s="77" t="s">
        <v>124</v>
      </c>
      <c r="B81" s="171" t="s">
        <v>256</v>
      </c>
      <c r="C81" s="634" t="s">
        <v>250</v>
      </c>
      <c r="D81" s="97"/>
      <c r="E81" s="97">
        <v>1.35</v>
      </c>
      <c r="F81" s="97"/>
      <c r="G81" s="97">
        <v>10201.8</v>
      </c>
      <c r="H81" s="97"/>
      <c r="I81" s="97"/>
      <c r="J81" s="97"/>
      <c r="K81" s="793">
        <f>2.7-2.7</f>
        <v>0</v>
      </c>
      <c r="L81" s="97"/>
      <c r="M81" s="97">
        <f>21575.9-21575.9</f>
        <v>0</v>
      </c>
    </row>
    <row r="82" spans="2:13" ht="12.75">
      <c r="B82" s="173" t="s">
        <v>5</v>
      </c>
      <c r="C82" s="516"/>
      <c r="D82" s="98"/>
      <c r="E82" s="98"/>
      <c r="F82" s="98"/>
      <c r="G82" s="98"/>
      <c r="H82" s="98"/>
      <c r="I82" s="98"/>
      <c r="J82" s="98"/>
      <c r="K82" s="278">
        <v>2.7</v>
      </c>
      <c r="L82" s="98"/>
      <c r="M82" s="98">
        <v>21575.9</v>
      </c>
    </row>
    <row r="83" spans="2:13" ht="14.25" hidden="1">
      <c r="B83" s="87" t="s">
        <v>123</v>
      </c>
      <c r="C83" s="655"/>
      <c r="D83" s="91"/>
      <c r="E83" s="88">
        <f>E84</f>
        <v>0.86</v>
      </c>
      <c r="F83" s="88">
        <f>F84</f>
        <v>24053.5</v>
      </c>
      <c r="G83" s="88">
        <f>G84</f>
        <v>0</v>
      </c>
      <c r="H83" s="91"/>
      <c r="I83" s="91"/>
      <c r="J83" s="91"/>
      <c r="K83" s="91"/>
      <c r="L83" s="89">
        <f>SUM(L84:L84)</f>
        <v>0</v>
      </c>
      <c r="M83" s="88">
        <f>M84</f>
        <v>0</v>
      </c>
    </row>
    <row r="84" spans="1:13" ht="24" hidden="1">
      <c r="A84" s="77" t="s">
        <v>124</v>
      </c>
      <c r="B84" s="656" t="s">
        <v>257</v>
      </c>
      <c r="C84" s="627" t="s">
        <v>121</v>
      </c>
      <c r="D84" s="190"/>
      <c r="E84" s="657">
        <v>0.86</v>
      </c>
      <c r="F84" s="658">
        <v>24053.5</v>
      </c>
      <c r="G84" s="91"/>
      <c r="H84" s="91"/>
      <c r="I84" s="91"/>
      <c r="J84" s="91"/>
      <c r="K84" s="91"/>
      <c r="L84" s="91"/>
      <c r="M84" s="91"/>
    </row>
    <row r="85" spans="2:13" ht="14.25">
      <c r="B85" s="87" t="s">
        <v>128</v>
      </c>
      <c r="C85" s="639"/>
      <c r="D85" s="91"/>
      <c r="E85" s="89">
        <f aca="true" t="shared" si="13" ref="E85:M85">E86</f>
        <v>1</v>
      </c>
      <c r="F85" s="89">
        <f t="shared" si="13"/>
        <v>0</v>
      </c>
      <c r="G85" s="89">
        <f t="shared" si="13"/>
        <v>11000</v>
      </c>
      <c r="H85" s="89">
        <f t="shared" si="13"/>
        <v>2</v>
      </c>
      <c r="I85" s="89">
        <f t="shared" si="13"/>
        <v>0</v>
      </c>
      <c r="J85" s="89">
        <f t="shared" si="13"/>
        <v>24727.6</v>
      </c>
      <c r="K85" s="89">
        <f t="shared" si="13"/>
        <v>0</v>
      </c>
      <c r="L85" s="89">
        <f t="shared" si="13"/>
        <v>0</v>
      </c>
      <c r="M85" s="89">
        <f t="shared" si="13"/>
        <v>0</v>
      </c>
    </row>
    <row r="86" spans="1:13" ht="12.75">
      <c r="A86" s="77" t="s">
        <v>124</v>
      </c>
      <c r="B86" s="656" t="s">
        <v>258</v>
      </c>
      <c r="C86" s="638" t="s">
        <v>115</v>
      </c>
      <c r="D86" s="190"/>
      <c r="E86" s="263">
        <v>1</v>
      </c>
      <c r="F86" s="263"/>
      <c r="G86" s="263">
        <v>11000</v>
      </c>
      <c r="H86" s="263">
        <v>2</v>
      </c>
      <c r="I86" s="91"/>
      <c r="J86" s="91">
        <v>24727.6</v>
      </c>
      <c r="K86" s="91"/>
      <c r="L86" s="91"/>
      <c r="M86" s="91"/>
    </row>
    <row r="87" spans="2:13" ht="14.25">
      <c r="B87" s="87" t="s">
        <v>259</v>
      </c>
      <c r="C87" s="622"/>
      <c r="D87" s="88"/>
      <c r="E87" s="88">
        <f aca="true" t="shared" si="14" ref="E87:M87">SUM(E88:E91)</f>
        <v>4.3</v>
      </c>
      <c r="F87" s="88">
        <f t="shared" si="14"/>
        <v>0</v>
      </c>
      <c r="G87" s="88">
        <f t="shared" si="14"/>
        <v>51600</v>
      </c>
      <c r="H87" s="88">
        <f t="shared" si="14"/>
        <v>7</v>
      </c>
      <c r="I87" s="88">
        <f t="shared" si="14"/>
        <v>70000</v>
      </c>
      <c r="J87" s="88">
        <f t="shared" si="14"/>
        <v>21600</v>
      </c>
      <c r="K87" s="88">
        <f t="shared" si="14"/>
        <v>11</v>
      </c>
      <c r="L87" s="88">
        <f t="shared" si="14"/>
        <v>0</v>
      </c>
      <c r="M87" s="88">
        <f t="shared" si="14"/>
        <v>125523.9</v>
      </c>
    </row>
    <row r="88" spans="1:13" ht="12.75">
      <c r="A88" s="77" t="s">
        <v>124</v>
      </c>
      <c r="B88" s="659" t="s">
        <v>260</v>
      </c>
      <c r="C88" s="626" t="s">
        <v>121</v>
      </c>
      <c r="D88" s="133"/>
      <c r="E88" s="133"/>
      <c r="F88" s="133"/>
      <c r="G88" s="133"/>
      <c r="H88" s="134">
        <v>5.2</v>
      </c>
      <c r="I88" s="134">
        <v>60000</v>
      </c>
      <c r="J88" s="133"/>
      <c r="K88" s="134"/>
      <c r="L88" s="134"/>
      <c r="M88" s="133"/>
    </row>
    <row r="89" spans="1:13" ht="12.75">
      <c r="A89" s="77" t="s">
        <v>124</v>
      </c>
      <c r="B89" s="660" t="s">
        <v>261</v>
      </c>
      <c r="C89" s="623" t="s">
        <v>115</v>
      </c>
      <c r="D89" s="185"/>
      <c r="E89" s="97">
        <v>4.3</v>
      </c>
      <c r="F89" s="97"/>
      <c r="G89" s="97">
        <v>51600</v>
      </c>
      <c r="H89" s="97">
        <v>1.8</v>
      </c>
      <c r="I89" s="97"/>
      <c r="J89" s="97">
        <v>21600</v>
      </c>
      <c r="K89" s="97">
        <v>9</v>
      </c>
      <c r="L89" s="97"/>
      <c r="M89" s="97">
        <v>108000</v>
      </c>
    </row>
    <row r="90" spans="1:13" ht="12.75">
      <c r="A90" s="77" t="s">
        <v>124</v>
      </c>
      <c r="B90" s="660" t="s">
        <v>458</v>
      </c>
      <c r="C90" s="623" t="s">
        <v>115</v>
      </c>
      <c r="D90" s="185"/>
      <c r="E90" s="185"/>
      <c r="F90" s="185"/>
      <c r="G90" s="185"/>
      <c r="H90" s="178"/>
      <c r="I90" s="185"/>
      <c r="J90" s="97"/>
      <c r="K90" s="178">
        <v>2</v>
      </c>
      <c r="L90" s="185"/>
      <c r="M90" s="97">
        <v>17523.9</v>
      </c>
    </row>
    <row r="91" spans="1:13" ht="12.75">
      <c r="A91" s="77" t="s">
        <v>117</v>
      </c>
      <c r="B91" s="644" t="s">
        <v>31</v>
      </c>
      <c r="C91" s="627"/>
      <c r="D91" s="136"/>
      <c r="E91" s="136"/>
      <c r="F91" s="136"/>
      <c r="G91" s="136"/>
      <c r="H91" s="191" t="s">
        <v>32</v>
      </c>
      <c r="I91" s="191">
        <v>10000</v>
      </c>
      <c r="J91" s="136"/>
      <c r="K91" s="191"/>
      <c r="L91" s="191"/>
      <c r="M91" s="136"/>
    </row>
    <row r="92" spans="2:13" ht="14.25" customHeight="1">
      <c r="B92" s="87" t="s">
        <v>263</v>
      </c>
      <c r="C92" s="622"/>
      <c r="D92" s="88"/>
      <c r="E92" s="88">
        <f aca="true" t="shared" si="15" ref="E92:M92">SUM(E93:E95)</f>
        <v>1.7000000000000002</v>
      </c>
      <c r="F92" s="88">
        <f t="shared" si="15"/>
        <v>10000</v>
      </c>
      <c r="G92" s="88">
        <f t="shared" si="15"/>
        <v>5502</v>
      </c>
      <c r="H92" s="88">
        <f t="shared" si="15"/>
        <v>1.2</v>
      </c>
      <c r="I92" s="88">
        <f t="shared" si="15"/>
        <v>0</v>
      </c>
      <c r="J92" s="88">
        <f t="shared" si="15"/>
        <v>20464.5</v>
      </c>
      <c r="K92" s="88">
        <f t="shared" si="15"/>
        <v>1.5</v>
      </c>
      <c r="L92" s="88">
        <f t="shared" si="15"/>
        <v>20000</v>
      </c>
      <c r="M92" s="88">
        <f t="shared" si="15"/>
        <v>0</v>
      </c>
    </row>
    <row r="93" spans="1:13" ht="24">
      <c r="A93" s="77" t="s">
        <v>124</v>
      </c>
      <c r="B93" s="659" t="s">
        <v>264</v>
      </c>
      <c r="C93" s="626" t="s">
        <v>115</v>
      </c>
      <c r="D93" s="170"/>
      <c r="E93" s="95">
        <v>1.1</v>
      </c>
      <c r="F93" s="95">
        <v>10000</v>
      </c>
      <c r="G93" s="192"/>
      <c r="H93" s="95"/>
      <c r="I93" s="95"/>
      <c r="J93" s="192"/>
      <c r="K93" s="279">
        <v>1.5</v>
      </c>
      <c r="L93" s="279">
        <v>20000</v>
      </c>
      <c r="M93" s="192"/>
    </row>
    <row r="94" spans="1:13" ht="24">
      <c r="A94" s="77" t="s">
        <v>124</v>
      </c>
      <c r="B94" s="660" t="s">
        <v>265</v>
      </c>
      <c r="C94" s="623" t="s">
        <v>121</v>
      </c>
      <c r="D94" s="193"/>
      <c r="E94" s="97">
        <v>0.6</v>
      </c>
      <c r="F94" s="97"/>
      <c r="G94" s="97">
        <v>5502</v>
      </c>
      <c r="H94" s="172">
        <v>1.2</v>
      </c>
      <c r="I94" s="172"/>
      <c r="J94" s="97">
        <v>10464.5</v>
      </c>
      <c r="K94" s="172"/>
      <c r="L94" s="172"/>
      <c r="M94" s="97"/>
    </row>
    <row r="95" spans="1:13" ht="24">
      <c r="A95" s="77" t="s">
        <v>117</v>
      </c>
      <c r="B95" s="644" t="s">
        <v>33</v>
      </c>
      <c r="C95" s="627"/>
      <c r="D95" s="174"/>
      <c r="E95" s="98"/>
      <c r="F95" s="98"/>
      <c r="G95" s="283"/>
      <c r="H95" s="98" t="s">
        <v>34</v>
      </c>
      <c r="I95" s="98"/>
      <c r="J95" s="191">
        <v>10000</v>
      </c>
      <c r="K95" s="98"/>
      <c r="L95" s="98"/>
      <c r="M95" s="283"/>
    </row>
    <row r="96" spans="2:13" ht="14.25">
      <c r="B96" s="87" t="s">
        <v>267</v>
      </c>
      <c r="C96" s="622"/>
      <c r="D96" s="194"/>
      <c r="E96" s="88">
        <f>E97</f>
        <v>3.5</v>
      </c>
      <c r="F96" s="88">
        <f>F97</f>
        <v>0</v>
      </c>
      <c r="G96" s="88">
        <f>G97+G99</f>
        <v>27775.8</v>
      </c>
      <c r="H96" s="88">
        <f>SUM(H97:H99)</f>
        <v>6.9</v>
      </c>
      <c r="I96" s="88">
        <f>I97+I99</f>
        <v>0</v>
      </c>
      <c r="J96" s="88">
        <f>SUM(J97:J99)</f>
        <v>41277.8</v>
      </c>
      <c r="K96" s="88">
        <f>K97+K99</f>
        <v>4.5</v>
      </c>
      <c r="L96" s="88">
        <f>L97+L99</f>
        <v>0</v>
      </c>
      <c r="M96" s="88">
        <f>M97+M99</f>
        <v>39997</v>
      </c>
    </row>
    <row r="97" spans="1:13" ht="12.75" hidden="1">
      <c r="A97" s="77" t="s">
        <v>124</v>
      </c>
      <c r="B97" s="661" t="s">
        <v>269</v>
      </c>
      <c r="C97" s="633" t="s">
        <v>115</v>
      </c>
      <c r="D97" s="195"/>
      <c r="E97" s="134">
        <v>3.5</v>
      </c>
      <c r="F97" s="134"/>
      <c r="G97" s="134">
        <f>27993.6-217.8</f>
        <v>27775.8</v>
      </c>
      <c r="H97" s="134"/>
      <c r="I97" s="134"/>
      <c r="J97" s="134"/>
      <c r="K97" s="134"/>
      <c r="L97" s="134"/>
      <c r="M97" s="134"/>
    </row>
    <row r="98" spans="2:13" ht="12.75">
      <c r="B98" s="662" t="s">
        <v>394</v>
      </c>
      <c r="C98" s="281" t="s">
        <v>115</v>
      </c>
      <c r="D98" s="663"/>
      <c r="E98" s="198"/>
      <c r="F98" s="198"/>
      <c r="G98" s="198"/>
      <c r="H98" s="235">
        <v>3.9</v>
      </c>
      <c r="I98" s="235"/>
      <c r="J98" s="235">
        <f>18000+12277.8-10000</f>
        <v>20277.8</v>
      </c>
      <c r="K98" s="198"/>
      <c r="L98" s="198"/>
      <c r="M98" s="198"/>
    </row>
    <row r="99" spans="1:13" ht="12.75">
      <c r="A99" s="77" t="s">
        <v>124</v>
      </c>
      <c r="B99" s="664" t="s">
        <v>331</v>
      </c>
      <c r="C99" s="516" t="s">
        <v>115</v>
      </c>
      <c r="D99" s="665"/>
      <c r="E99" s="665"/>
      <c r="F99" s="665"/>
      <c r="G99" s="665"/>
      <c r="H99" s="206">
        <v>3</v>
      </c>
      <c r="I99" s="206"/>
      <c r="J99" s="206">
        <v>21000</v>
      </c>
      <c r="K99" s="191">
        <v>4.5</v>
      </c>
      <c r="L99" s="191"/>
      <c r="M99" s="191">
        <v>39997</v>
      </c>
    </row>
    <row r="100" spans="2:13" ht="14.25">
      <c r="B100" s="87" t="s">
        <v>270</v>
      </c>
      <c r="C100" s="622"/>
      <c r="D100" s="194"/>
      <c r="E100" s="88">
        <f aca="true" t="shared" si="16" ref="E100:M100">SUM(E101:E103)</f>
        <v>1.63</v>
      </c>
      <c r="F100" s="88">
        <f t="shared" si="16"/>
        <v>78693.20000000001</v>
      </c>
      <c r="G100" s="88">
        <f t="shared" si="16"/>
        <v>12000.000000000002</v>
      </c>
      <c r="H100" s="88">
        <f t="shared" si="16"/>
        <v>0</v>
      </c>
      <c r="I100" s="88">
        <f t="shared" si="16"/>
        <v>0</v>
      </c>
      <c r="J100" s="88">
        <f t="shared" si="16"/>
        <v>0</v>
      </c>
      <c r="K100" s="88">
        <f t="shared" si="16"/>
        <v>4.1</v>
      </c>
      <c r="L100" s="88">
        <f t="shared" si="16"/>
        <v>95085.9</v>
      </c>
      <c r="M100" s="88">
        <f t="shared" si="16"/>
        <v>6000</v>
      </c>
    </row>
    <row r="101" spans="1:13" ht="24">
      <c r="A101" s="77" t="s">
        <v>124</v>
      </c>
      <c r="B101" s="659" t="s">
        <v>257</v>
      </c>
      <c r="C101" s="666" t="s">
        <v>121</v>
      </c>
      <c r="D101" s="667"/>
      <c r="E101" s="195">
        <v>0.83</v>
      </c>
      <c r="F101" s="195">
        <f>37000-2620.6-4636.6+1000</f>
        <v>30742.800000000003</v>
      </c>
      <c r="G101" s="133"/>
      <c r="H101" s="133"/>
      <c r="I101" s="134"/>
      <c r="J101" s="133"/>
      <c r="K101" s="195">
        <f>3.5-1.1</f>
        <v>2.4</v>
      </c>
      <c r="L101" s="134">
        <f>52000-16914.1</f>
        <v>35085.9</v>
      </c>
      <c r="M101" s="134"/>
    </row>
    <row r="102" spans="1:13" ht="12.75">
      <c r="A102" s="77" t="s">
        <v>124</v>
      </c>
      <c r="B102" s="171" t="s">
        <v>203</v>
      </c>
      <c r="C102" s="668"/>
      <c r="D102" s="196"/>
      <c r="E102" s="178"/>
      <c r="F102" s="178">
        <f>13950.4+4000</f>
        <v>17950.4</v>
      </c>
      <c r="G102" s="178">
        <f>23380-18429.6+25000-13950.4-4000</f>
        <v>12000.000000000002</v>
      </c>
      <c r="H102" s="178"/>
      <c r="I102" s="178"/>
      <c r="J102" s="178"/>
      <c r="K102" s="178"/>
      <c r="L102" s="178"/>
      <c r="M102" s="178">
        <v>6000</v>
      </c>
    </row>
    <row r="103" spans="1:13" ht="12.75">
      <c r="A103" s="77" t="s">
        <v>124</v>
      </c>
      <c r="B103" s="177" t="s">
        <v>271</v>
      </c>
      <c r="C103" s="668" t="s">
        <v>121</v>
      </c>
      <c r="D103" s="196"/>
      <c r="E103" s="796">
        <v>0.8</v>
      </c>
      <c r="F103" s="797">
        <v>30000</v>
      </c>
      <c r="G103" s="178"/>
      <c r="H103" s="178"/>
      <c r="I103" s="178"/>
      <c r="J103" s="178"/>
      <c r="K103" s="178">
        <v>1.7</v>
      </c>
      <c r="L103" s="178">
        <v>60000</v>
      </c>
      <c r="M103" s="178"/>
    </row>
    <row r="104" spans="2:13" ht="15" customHeight="1">
      <c r="B104" s="87" t="s">
        <v>273</v>
      </c>
      <c r="C104" s="622"/>
      <c r="D104" s="88"/>
      <c r="E104" s="88">
        <f aca="true" t="shared" si="17" ref="E104:M104">SUM(E105:E107)</f>
        <v>1.7</v>
      </c>
      <c r="F104" s="88">
        <f t="shared" si="17"/>
        <v>0</v>
      </c>
      <c r="G104" s="88">
        <f t="shared" si="17"/>
        <v>19534.2</v>
      </c>
      <c r="H104" s="88">
        <f t="shared" si="17"/>
        <v>2.16</v>
      </c>
      <c r="I104" s="88">
        <f t="shared" si="17"/>
        <v>0</v>
      </c>
      <c r="J104" s="88">
        <f t="shared" si="17"/>
        <v>48399.1</v>
      </c>
      <c r="K104" s="88">
        <f t="shared" si="17"/>
        <v>2</v>
      </c>
      <c r="L104" s="88">
        <f t="shared" si="17"/>
        <v>0</v>
      </c>
      <c r="M104" s="88">
        <f t="shared" si="17"/>
        <v>27910.2</v>
      </c>
    </row>
    <row r="105" spans="1:13" ht="24">
      <c r="A105" s="77" t="s">
        <v>117</v>
      </c>
      <c r="B105" s="660" t="s">
        <v>274</v>
      </c>
      <c r="C105" s="666"/>
      <c r="D105" s="97"/>
      <c r="E105" s="97"/>
      <c r="F105" s="133"/>
      <c r="G105" s="134"/>
      <c r="H105" s="134" t="s">
        <v>35</v>
      </c>
      <c r="I105" s="133"/>
      <c r="J105" s="134">
        <v>18000</v>
      </c>
      <c r="K105" s="133"/>
      <c r="L105" s="133"/>
      <c r="M105" s="133"/>
    </row>
    <row r="106" spans="1:13" ht="12.75">
      <c r="A106" s="77" t="s">
        <v>124</v>
      </c>
      <c r="B106" s="660" t="s">
        <v>275</v>
      </c>
      <c r="C106" s="668" t="s">
        <v>121</v>
      </c>
      <c r="D106" s="197"/>
      <c r="E106" s="199"/>
      <c r="F106" s="199"/>
      <c r="G106" s="199"/>
      <c r="H106" s="669">
        <v>2.16</v>
      </c>
      <c r="I106" s="199"/>
      <c r="J106" s="198">
        <v>30399.1</v>
      </c>
      <c r="K106" s="198">
        <v>2</v>
      </c>
      <c r="L106" s="199"/>
      <c r="M106" s="198">
        <v>27910.2</v>
      </c>
    </row>
    <row r="107" spans="1:13" ht="12.75" hidden="1">
      <c r="A107" s="77" t="s">
        <v>124</v>
      </c>
      <c r="B107" s="660" t="s">
        <v>276</v>
      </c>
      <c r="C107" s="668" t="s">
        <v>115</v>
      </c>
      <c r="D107" s="196"/>
      <c r="E107" s="178">
        <v>1.7</v>
      </c>
      <c r="F107" s="178"/>
      <c r="G107" s="178">
        <v>19534.2</v>
      </c>
      <c r="H107" s="178"/>
      <c r="I107" s="178"/>
      <c r="J107" s="178"/>
      <c r="K107" s="178"/>
      <c r="L107" s="178"/>
      <c r="M107" s="178"/>
    </row>
    <row r="108" spans="2:13" ht="18" customHeight="1">
      <c r="B108" s="87" t="s">
        <v>129</v>
      </c>
      <c r="C108" s="88"/>
      <c r="D108" s="88"/>
      <c r="E108" s="88">
        <f aca="true" t="shared" si="18" ref="E108:K108">E109+E110</f>
        <v>0</v>
      </c>
      <c r="F108" s="88">
        <f t="shared" si="18"/>
        <v>0</v>
      </c>
      <c r="G108" s="88">
        <f t="shared" si="18"/>
        <v>0</v>
      </c>
      <c r="H108" s="88">
        <f t="shared" si="18"/>
        <v>4.45</v>
      </c>
      <c r="I108" s="88">
        <f t="shared" si="18"/>
        <v>0</v>
      </c>
      <c r="J108" s="88">
        <f t="shared" si="18"/>
        <v>33089.3</v>
      </c>
      <c r="K108" s="88">
        <f t="shared" si="18"/>
        <v>2.9</v>
      </c>
      <c r="L108" s="88">
        <f>SUM(L109:L110)</f>
        <v>30380.2</v>
      </c>
      <c r="M108" s="88">
        <f>SUM(M109:M110)</f>
        <v>0</v>
      </c>
    </row>
    <row r="109" spans="1:13" ht="12.75">
      <c r="A109" s="77" t="s">
        <v>124</v>
      </c>
      <c r="B109" s="670" t="s">
        <v>397</v>
      </c>
      <c r="C109" s="671" t="s">
        <v>115</v>
      </c>
      <c r="D109" s="672"/>
      <c r="E109" s="285"/>
      <c r="F109" s="285"/>
      <c r="G109" s="285"/>
      <c r="H109" s="286">
        <v>4.45</v>
      </c>
      <c r="I109" s="286"/>
      <c r="J109" s="286">
        <v>33089.3</v>
      </c>
      <c r="K109" s="285"/>
      <c r="L109" s="285"/>
      <c r="M109" s="285"/>
    </row>
    <row r="110" spans="1:13" ht="24">
      <c r="A110" s="77" t="s">
        <v>124</v>
      </c>
      <c r="B110" s="664" t="s">
        <v>333</v>
      </c>
      <c r="C110" s="673" t="s">
        <v>121</v>
      </c>
      <c r="D110" s="674"/>
      <c r="E110" s="282"/>
      <c r="F110" s="282"/>
      <c r="G110" s="282"/>
      <c r="H110" s="282"/>
      <c r="I110" s="282"/>
      <c r="J110" s="282"/>
      <c r="K110" s="282">
        <v>2.9</v>
      </c>
      <c r="L110" s="284">
        <v>30380.2</v>
      </c>
      <c r="M110" s="284"/>
    </row>
    <row r="111" spans="2:13" ht="15" customHeight="1">
      <c r="B111" s="87" t="s">
        <v>277</v>
      </c>
      <c r="C111" s="675"/>
      <c r="D111" s="676"/>
      <c r="E111" s="89">
        <f aca="true" t="shared" si="19" ref="E111:M111">SUM(E112:E115)</f>
        <v>0.6</v>
      </c>
      <c r="F111" s="89">
        <f t="shared" si="19"/>
        <v>9000</v>
      </c>
      <c r="G111" s="89">
        <f t="shared" si="19"/>
        <v>0</v>
      </c>
      <c r="H111" s="89">
        <f t="shared" si="19"/>
        <v>7.9</v>
      </c>
      <c r="I111" s="89">
        <f t="shared" si="19"/>
        <v>30000</v>
      </c>
      <c r="J111" s="89">
        <f t="shared" si="19"/>
        <v>38362.1</v>
      </c>
      <c r="K111" s="89">
        <f t="shared" si="19"/>
        <v>3.5</v>
      </c>
      <c r="L111" s="89">
        <f t="shared" si="19"/>
        <v>0</v>
      </c>
      <c r="M111" s="89">
        <f t="shared" si="19"/>
        <v>35221.305</v>
      </c>
    </row>
    <row r="112" spans="1:13" ht="12.75">
      <c r="A112" s="77" t="s">
        <v>124</v>
      </c>
      <c r="B112" s="677" t="s">
        <v>278</v>
      </c>
      <c r="C112" s="678" t="s">
        <v>121</v>
      </c>
      <c r="D112" s="3"/>
      <c r="E112" s="204">
        <v>0.6</v>
      </c>
      <c r="F112" s="204">
        <v>5000</v>
      </c>
      <c r="G112" s="205"/>
      <c r="H112" s="204">
        <v>3.5</v>
      </c>
      <c r="I112" s="204">
        <v>30000</v>
      </c>
      <c r="J112" s="203"/>
      <c r="K112" s="204"/>
      <c r="L112" s="204"/>
      <c r="M112" s="203"/>
    </row>
    <row r="113" spans="1:13" ht="12.75">
      <c r="A113" s="77" t="s">
        <v>124</v>
      </c>
      <c r="B113" s="677" t="s">
        <v>203</v>
      </c>
      <c r="C113" s="678"/>
      <c r="D113" s="3"/>
      <c r="E113" s="203"/>
      <c r="F113" s="204">
        <v>4000</v>
      </c>
      <c r="G113" s="203"/>
      <c r="H113" s="203"/>
      <c r="I113" s="203"/>
      <c r="J113" s="203"/>
      <c r="K113" s="203"/>
      <c r="L113" s="203"/>
      <c r="M113" s="203">
        <v>7426.3</v>
      </c>
    </row>
    <row r="114" spans="1:13" ht="12.75">
      <c r="A114" s="77" t="s">
        <v>124</v>
      </c>
      <c r="B114" s="679" t="s">
        <v>218</v>
      </c>
      <c r="C114" s="678" t="s">
        <v>115</v>
      </c>
      <c r="D114" s="3"/>
      <c r="E114" s="203"/>
      <c r="F114" s="178"/>
      <c r="G114" s="203"/>
      <c r="H114" s="203"/>
      <c r="I114" s="203"/>
      <c r="J114" s="203"/>
      <c r="K114" s="203">
        <v>3.5</v>
      </c>
      <c r="L114" s="203"/>
      <c r="M114" s="203">
        <v>27795.005</v>
      </c>
    </row>
    <row r="115" spans="1:13" ht="24">
      <c r="A115" s="77" t="s">
        <v>124</v>
      </c>
      <c r="B115" s="680" t="s">
        <v>279</v>
      </c>
      <c r="C115" s="681" t="s">
        <v>121</v>
      </c>
      <c r="D115" s="128"/>
      <c r="E115" s="206"/>
      <c r="F115" s="191"/>
      <c r="G115" s="206"/>
      <c r="H115" s="206">
        <v>4.4</v>
      </c>
      <c r="I115" s="206"/>
      <c r="J115" s="206">
        <v>38362.1</v>
      </c>
      <c r="K115" s="206"/>
      <c r="L115" s="206"/>
      <c r="M115" s="206"/>
    </row>
    <row r="116" spans="2:13" ht="13.5" customHeight="1">
      <c r="B116" s="87" t="s">
        <v>280</v>
      </c>
      <c r="C116" s="682"/>
      <c r="D116" s="89"/>
      <c r="E116" s="89">
        <f aca="true" t="shared" si="20" ref="E116:M116">SUM(E117:E121)</f>
        <v>0.96</v>
      </c>
      <c r="F116" s="89">
        <f t="shared" si="20"/>
        <v>0</v>
      </c>
      <c r="G116" s="89">
        <f t="shared" si="20"/>
        <v>26068.199999999997</v>
      </c>
      <c r="H116" s="89">
        <f t="shared" si="20"/>
        <v>2.58</v>
      </c>
      <c r="I116" s="89">
        <f t="shared" si="20"/>
        <v>0</v>
      </c>
      <c r="J116" s="89">
        <f t="shared" si="20"/>
        <v>19512.9</v>
      </c>
      <c r="K116" s="89">
        <f t="shared" si="20"/>
        <v>2.4</v>
      </c>
      <c r="L116" s="89">
        <f t="shared" si="20"/>
        <v>2500</v>
      </c>
      <c r="M116" s="89">
        <f t="shared" si="20"/>
        <v>23915.3</v>
      </c>
    </row>
    <row r="117" spans="1:13" ht="24">
      <c r="A117" s="77" t="s">
        <v>117</v>
      </c>
      <c r="B117" s="683" t="s">
        <v>281</v>
      </c>
      <c r="C117" s="684"/>
      <c r="D117" s="207"/>
      <c r="E117" s="207"/>
      <c r="F117" s="207"/>
      <c r="G117" s="207"/>
      <c r="H117" s="97"/>
      <c r="I117" s="207"/>
      <c r="J117" s="134"/>
      <c r="K117" s="97" t="s">
        <v>36</v>
      </c>
      <c r="L117" s="207"/>
      <c r="M117" s="134">
        <v>8500</v>
      </c>
    </row>
    <row r="118" spans="1:13" ht="24" hidden="1">
      <c r="A118" s="77" t="s">
        <v>117</v>
      </c>
      <c r="B118" s="677" t="s">
        <v>283</v>
      </c>
      <c r="C118" s="131"/>
      <c r="D118" s="178" t="s">
        <v>36</v>
      </c>
      <c r="E118" s="208"/>
      <c r="F118" s="208"/>
      <c r="G118" s="178">
        <v>13138.9</v>
      </c>
      <c r="H118" s="208"/>
      <c r="I118" s="208"/>
      <c r="J118" s="178"/>
      <c r="K118" s="208"/>
      <c r="L118" s="208"/>
      <c r="M118" s="178"/>
    </row>
    <row r="119" spans="1:13" ht="12.75" hidden="1">
      <c r="A119" s="77" t="s">
        <v>124</v>
      </c>
      <c r="B119" s="677" t="s">
        <v>285</v>
      </c>
      <c r="C119" s="131" t="s">
        <v>121</v>
      </c>
      <c r="D119" s="204"/>
      <c r="E119" s="178">
        <v>0.96</v>
      </c>
      <c r="F119" s="178"/>
      <c r="G119" s="178">
        <f>8171.4-0.1</f>
        <v>8171.299999999999</v>
      </c>
      <c r="H119" s="204"/>
      <c r="I119" s="204"/>
      <c r="J119" s="204"/>
      <c r="K119" s="204"/>
      <c r="L119" s="204"/>
      <c r="M119" s="204"/>
    </row>
    <row r="120" spans="1:13" ht="24">
      <c r="A120" s="77" t="s">
        <v>124</v>
      </c>
      <c r="B120" s="677" t="s">
        <v>286</v>
      </c>
      <c r="C120" s="678" t="s">
        <v>115</v>
      </c>
      <c r="D120" s="204"/>
      <c r="E120" s="178"/>
      <c r="F120" s="178"/>
      <c r="G120" s="178"/>
      <c r="H120" s="204">
        <v>2.58</v>
      </c>
      <c r="I120" s="204"/>
      <c r="J120" s="204">
        <v>19512.9</v>
      </c>
      <c r="K120" s="204">
        <v>2.4</v>
      </c>
      <c r="L120" s="204"/>
      <c r="M120" s="204">
        <f>17915.3-5000</f>
        <v>12915.3</v>
      </c>
    </row>
    <row r="121" spans="1:13" ht="12.75">
      <c r="A121" s="77" t="s">
        <v>124</v>
      </c>
      <c r="B121" s="680" t="s">
        <v>203</v>
      </c>
      <c r="C121" s="514"/>
      <c r="D121" s="209"/>
      <c r="E121" s="209"/>
      <c r="F121" s="191">
        <f>2379-2379</f>
        <v>0</v>
      </c>
      <c r="G121" s="191">
        <f>2379+2379</f>
        <v>4758</v>
      </c>
      <c r="H121" s="209"/>
      <c r="I121" s="209"/>
      <c r="J121" s="209"/>
      <c r="K121" s="209"/>
      <c r="L121" s="209">
        <v>2500</v>
      </c>
      <c r="M121" s="209">
        <v>2500</v>
      </c>
    </row>
    <row r="122" spans="2:13" ht="18" customHeight="1">
      <c r="B122" s="87" t="s">
        <v>287</v>
      </c>
      <c r="C122" s="682"/>
      <c r="D122" s="89"/>
      <c r="E122" s="89">
        <f aca="true" t="shared" si="21" ref="E122:M122">SUM(E123:E124)</f>
        <v>1.783</v>
      </c>
      <c r="F122" s="89">
        <f t="shared" si="21"/>
        <v>0</v>
      </c>
      <c r="G122" s="89">
        <f t="shared" si="21"/>
        <v>18018.600000000002</v>
      </c>
      <c r="H122" s="89">
        <f t="shared" si="21"/>
        <v>4</v>
      </c>
      <c r="I122" s="89">
        <f t="shared" si="21"/>
        <v>0</v>
      </c>
      <c r="J122" s="89">
        <f t="shared" si="21"/>
        <v>28144.9</v>
      </c>
      <c r="K122" s="89">
        <f t="shared" si="21"/>
        <v>2.26</v>
      </c>
      <c r="L122" s="89">
        <f t="shared" si="21"/>
        <v>0</v>
      </c>
      <c r="M122" s="89">
        <f t="shared" si="21"/>
        <v>25840.7</v>
      </c>
    </row>
    <row r="123" spans="1:13" ht="12.75">
      <c r="A123" s="77" t="s">
        <v>124</v>
      </c>
      <c r="B123" s="659" t="s">
        <v>288</v>
      </c>
      <c r="C123" s="633" t="s">
        <v>115</v>
      </c>
      <c r="D123" s="134"/>
      <c r="E123" s="134">
        <v>1.783</v>
      </c>
      <c r="F123" s="134"/>
      <c r="G123" s="134">
        <f>18085.7-67.1</f>
        <v>18018.600000000002</v>
      </c>
      <c r="H123" s="134"/>
      <c r="I123" s="134"/>
      <c r="J123" s="134"/>
      <c r="K123" s="287">
        <v>2.26</v>
      </c>
      <c r="L123" s="287"/>
      <c r="M123" s="287">
        <v>25840.7</v>
      </c>
    </row>
    <row r="124" spans="1:13" ht="24">
      <c r="A124" s="77" t="s">
        <v>124</v>
      </c>
      <c r="B124" s="660" t="s">
        <v>289</v>
      </c>
      <c r="C124" s="634" t="s">
        <v>115</v>
      </c>
      <c r="D124" s="685"/>
      <c r="E124" s="178"/>
      <c r="F124" s="178"/>
      <c r="G124" s="178"/>
      <c r="H124" s="178">
        <v>4</v>
      </c>
      <c r="I124" s="178"/>
      <c r="J124" s="178">
        <v>28144.9</v>
      </c>
      <c r="K124" s="178"/>
      <c r="L124" s="178"/>
      <c r="M124" s="178"/>
    </row>
    <row r="125" spans="2:13" ht="15" customHeight="1">
      <c r="B125" s="87" t="s">
        <v>290</v>
      </c>
      <c r="C125" s="622"/>
      <c r="D125" s="676"/>
      <c r="E125" s="89">
        <f aca="true" t="shared" si="22" ref="E125:M125">SUM(E126:E128)</f>
        <v>2.5</v>
      </c>
      <c r="F125" s="89">
        <f t="shared" si="22"/>
        <v>19894.1</v>
      </c>
      <c r="G125" s="89">
        <f t="shared" si="22"/>
        <v>8000</v>
      </c>
      <c r="H125" s="89">
        <f t="shared" si="22"/>
        <v>0</v>
      </c>
      <c r="I125" s="89">
        <f t="shared" si="22"/>
        <v>0</v>
      </c>
      <c r="J125" s="89">
        <f t="shared" si="22"/>
        <v>0</v>
      </c>
      <c r="K125" s="89">
        <f t="shared" si="22"/>
        <v>0</v>
      </c>
      <c r="L125" s="89">
        <f t="shared" si="22"/>
        <v>15000</v>
      </c>
      <c r="M125" s="89">
        <f t="shared" si="22"/>
        <v>0</v>
      </c>
    </row>
    <row r="126" spans="1:13" ht="28.5" customHeight="1">
      <c r="A126" s="77" t="s">
        <v>124</v>
      </c>
      <c r="B126" s="686" t="s">
        <v>459</v>
      </c>
      <c r="C126" s="633" t="s">
        <v>115</v>
      </c>
      <c r="D126" s="134"/>
      <c r="E126" s="134">
        <v>2.5</v>
      </c>
      <c r="F126" s="134">
        <v>19894.1</v>
      </c>
      <c r="G126" s="134"/>
      <c r="H126" s="134"/>
      <c r="I126" s="134"/>
      <c r="J126" s="134"/>
      <c r="K126" s="134"/>
      <c r="L126" s="134">
        <v>15000</v>
      </c>
      <c r="M126" s="134"/>
    </row>
    <row r="127" spans="1:13" ht="63" customHeight="1" hidden="1">
      <c r="A127" s="77" t="s">
        <v>124</v>
      </c>
      <c r="B127" s="687" t="s">
        <v>396</v>
      </c>
      <c r="C127" s="630" t="s">
        <v>115</v>
      </c>
      <c r="D127" s="201"/>
      <c r="E127" s="201"/>
      <c r="F127" s="201"/>
      <c r="G127" s="201"/>
      <c r="H127" s="201"/>
      <c r="I127" s="201"/>
      <c r="J127" s="201"/>
      <c r="K127" s="201">
        <f>2-2</f>
        <v>0</v>
      </c>
      <c r="L127" s="201"/>
      <c r="M127" s="201">
        <f>23777.6-8777.6-15000</f>
        <v>0</v>
      </c>
    </row>
    <row r="128" spans="1:13" ht="24" hidden="1">
      <c r="A128" s="77" t="s">
        <v>117</v>
      </c>
      <c r="B128" s="688" t="s">
        <v>292</v>
      </c>
      <c r="C128" s="634"/>
      <c r="D128" s="97" t="s">
        <v>272</v>
      </c>
      <c r="E128" s="97"/>
      <c r="F128" s="178"/>
      <c r="G128" s="178">
        <v>8000</v>
      </c>
      <c r="H128" s="178"/>
      <c r="I128" s="178"/>
      <c r="J128" s="178"/>
      <c r="K128" s="178"/>
      <c r="L128" s="178"/>
      <c r="M128" s="178"/>
    </row>
    <row r="129" spans="2:13" ht="17.25" customHeight="1">
      <c r="B129" s="100" t="s">
        <v>130</v>
      </c>
      <c r="C129" s="689">
        <v>0</v>
      </c>
      <c r="D129" s="690"/>
      <c r="E129" s="250">
        <f aca="true" t="shared" si="23" ref="E129:M129">E7+E10+E14+E18+E22+E33+E49+E51+E54+E61+E63+E73+E79+E87+E92+E96+E100+E104+E108+E111+E116+E122+E125+E28+E44+E83+E40+E85</f>
        <v>45.37300000000001</v>
      </c>
      <c r="F129" s="250">
        <f t="shared" si="23"/>
        <v>265778.4</v>
      </c>
      <c r="G129" s="250">
        <f t="shared" si="23"/>
        <v>424754.8</v>
      </c>
      <c r="H129" s="250">
        <f t="shared" si="23"/>
        <v>80.77000000000001</v>
      </c>
      <c r="I129" s="250">
        <f t="shared" si="23"/>
        <v>221391.1</v>
      </c>
      <c r="J129" s="250">
        <f t="shared" si="23"/>
        <v>669318.5000000001</v>
      </c>
      <c r="K129" s="250">
        <f t="shared" si="23"/>
        <v>72.36</v>
      </c>
      <c r="L129" s="250">
        <f t="shared" si="23"/>
        <v>325742</v>
      </c>
      <c r="M129" s="250">
        <f t="shared" si="23"/>
        <v>723546.4049999999</v>
      </c>
    </row>
    <row r="130" spans="2:13" ht="12" customHeight="1">
      <c r="B130" s="691" t="s">
        <v>293</v>
      </c>
      <c r="C130" s="69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2:13" ht="12.75">
      <c r="B131" s="693" t="s">
        <v>294</v>
      </c>
      <c r="C131" s="694"/>
      <c r="D131" s="185"/>
      <c r="E131" s="136"/>
      <c r="F131" s="136">
        <f>500+500</f>
        <v>1000</v>
      </c>
      <c r="G131" s="136">
        <f>800+700+1500</f>
        <v>3000</v>
      </c>
      <c r="H131" s="136"/>
      <c r="I131" s="136">
        <f>500+300+900+10000</f>
        <v>11700</v>
      </c>
      <c r="J131" s="136">
        <f>1100+700+1600+10000</f>
        <v>13400</v>
      </c>
      <c r="K131" s="136"/>
      <c r="L131" s="136">
        <f>700+150+850</f>
        <v>1700</v>
      </c>
      <c r="M131" s="136">
        <f>1150+850+2000</f>
        <v>4000</v>
      </c>
    </row>
    <row r="132" spans="2:13" ht="18.75" customHeight="1">
      <c r="B132" s="695" t="s">
        <v>298</v>
      </c>
      <c r="C132" s="689">
        <v>0</v>
      </c>
      <c r="D132" s="210"/>
      <c r="E132" s="211">
        <f aca="true" t="shared" si="24" ref="E132:M132">SUM(E129:E131)</f>
        <v>45.37300000000001</v>
      </c>
      <c r="F132" s="210">
        <f t="shared" si="24"/>
        <v>266778.4</v>
      </c>
      <c r="G132" s="210">
        <f t="shared" si="24"/>
        <v>427754.8</v>
      </c>
      <c r="H132" s="211">
        <f t="shared" si="24"/>
        <v>80.77000000000001</v>
      </c>
      <c r="I132" s="210">
        <f t="shared" si="24"/>
        <v>233091.1</v>
      </c>
      <c r="J132" s="210">
        <f t="shared" si="24"/>
        <v>682718.5000000001</v>
      </c>
      <c r="K132" s="211">
        <f t="shared" si="24"/>
        <v>72.36</v>
      </c>
      <c r="L132" s="210">
        <f t="shared" si="24"/>
        <v>327442</v>
      </c>
      <c r="M132" s="210">
        <f t="shared" si="24"/>
        <v>727546.4049999999</v>
      </c>
    </row>
    <row r="133" spans="2:13" ht="18.75" customHeight="1">
      <c r="B133" s="110"/>
      <c r="C133" s="696"/>
      <c r="D133" s="212"/>
      <c r="E133" s="213"/>
      <c r="F133" s="212">
        <f>F132+G132</f>
        <v>694533.2</v>
      </c>
      <c r="G133" s="212"/>
      <c r="H133" s="213"/>
      <c r="I133" s="212">
        <f>I132+J132</f>
        <v>915809.6000000001</v>
      </c>
      <c r="J133" s="212"/>
      <c r="K133" s="213"/>
      <c r="L133" s="212">
        <f>L132+M132</f>
        <v>1054988.4049999998</v>
      </c>
      <c r="M133" s="212"/>
    </row>
    <row r="134" spans="2:13" ht="18.75" customHeight="1" hidden="1">
      <c r="B134" s="311" t="s">
        <v>296</v>
      </c>
      <c r="C134" s="696"/>
      <c r="D134" s="212"/>
      <c r="E134" s="244">
        <v>73.61</v>
      </c>
      <c r="F134" s="102">
        <v>386788.8</v>
      </c>
      <c r="G134" s="102">
        <v>87604.202</v>
      </c>
      <c r="H134" s="102">
        <v>129.52</v>
      </c>
      <c r="I134" s="102">
        <v>651278</v>
      </c>
      <c r="J134" s="102">
        <v>218068.2</v>
      </c>
      <c r="K134" s="244">
        <v>90.96</v>
      </c>
      <c r="L134" s="102">
        <v>447177.8</v>
      </c>
      <c r="M134" s="314">
        <v>224312</v>
      </c>
    </row>
    <row r="135" spans="2:13" ht="18.75" customHeight="1" hidden="1">
      <c r="B135" s="311" t="s">
        <v>295</v>
      </c>
      <c r="C135" s="696"/>
      <c r="D135" s="212"/>
      <c r="E135" s="313">
        <f aca="true" t="shared" si="25" ref="E135:M135">E132+E134</f>
        <v>118.983</v>
      </c>
      <c r="F135" s="313">
        <f t="shared" si="25"/>
        <v>653567.2</v>
      </c>
      <c r="G135" s="313">
        <f t="shared" si="25"/>
        <v>515359.002</v>
      </c>
      <c r="H135" s="313">
        <f t="shared" si="25"/>
        <v>210.29000000000002</v>
      </c>
      <c r="I135" s="313">
        <f t="shared" si="25"/>
        <v>884369.1</v>
      </c>
      <c r="J135" s="313">
        <f t="shared" si="25"/>
        <v>900786.7000000002</v>
      </c>
      <c r="K135" s="313">
        <f t="shared" si="25"/>
        <v>163.32</v>
      </c>
      <c r="L135" s="313">
        <f t="shared" si="25"/>
        <v>774619.8</v>
      </c>
      <c r="M135" s="313">
        <f t="shared" si="25"/>
        <v>951858.4049999999</v>
      </c>
    </row>
    <row r="136" spans="2:13" ht="18.75" customHeight="1" hidden="1">
      <c r="B136" s="110"/>
      <c r="C136" s="696"/>
      <c r="D136" s="212"/>
      <c r="E136" s="213"/>
      <c r="F136" s="212">
        <f>F135+G135</f>
        <v>1168926.202</v>
      </c>
      <c r="G136" s="212"/>
      <c r="H136" s="213"/>
      <c r="I136" s="212">
        <f>I135+J135</f>
        <v>1785155.8000000003</v>
      </c>
      <c r="J136" s="212"/>
      <c r="K136" s="213"/>
      <c r="L136" s="212">
        <f>L135+M135</f>
        <v>1726478.205</v>
      </c>
      <c r="M136" s="212"/>
    </row>
    <row r="137" spans="2:13" ht="30" customHeight="1" hidden="1">
      <c r="B137" s="311" t="s">
        <v>297</v>
      </c>
      <c r="C137" s="696"/>
      <c r="D137" s="212"/>
      <c r="E137" s="213">
        <f>44.7985+93.6</f>
        <v>138.39849999999998</v>
      </c>
      <c r="F137" s="212">
        <f>81673.3+706684.7</f>
        <v>788358</v>
      </c>
      <c r="G137" s="212">
        <f>487591+184920.8</f>
        <v>672511.8</v>
      </c>
      <c r="H137" s="213"/>
      <c r="I137" s="212"/>
      <c r="J137" s="212"/>
      <c r="K137" s="213"/>
      <c r="L137" s="212"/>
      <c r="M137" s="212"/>
    </row>
    <row r="138" spans="2:13" ht="18.75" customHeight="1" hidden="1">
      <c r="B138" s="109"/>
      <c r="C138" s="696"/>
      <c r="D138" s="212"/>
      <c r="E138" s="213"/>
      <c r="F138" s="212">
        <f>F137+G137</f>
        <v>1460869.8</v>
      </c>
      <c r="G138" s="212"/>
      <c r="H138" s="213"/>
      <c r="I138" s="212"/>
      <c r="J138" s="212"/>
      <c r="K138" s="213"/>
      <c r="L138" s="212"/>
      <c r="M138" s="212"/>
    </row>
    <row r="139" spans="2:13" ht="18.75" customHeight="1" hidden="1">
      <c r="B139" s="311" t="s">
        <v>389</v>
      </c>
      <c r="C139" s="696"/>
      <c r="D139" s="212"/>
      <c r="E139" s="213">
        <f>E135-E137</f>
        <v>-19.41549999999998</v>
      </c>
      <c r="F139" s="212">
        <f>F136-F138</f>
        <v>-291943.598</v>
      </c>
      <c r="G139" s="212"/>
      <c r="H139" s="213"/>
      <c r="I139" s="212"/>
      <c r="J139" s="212"/>
      <c r="K139" s="213"/>
      <c r="L139" s="212"/>
      <c r="M139" s="212"/>
    </row>
    <row r="140" spans="2:13" ht="18.75" customHeight="1" hidden="1">
      <c r="B140" s="110" t="s">
        <v>105</v>
      </c>
      <c r="C140" s="696"/>
      <c r="D140" s="212"/>
      <c r="E140" s="212"/>
      <c r="F140" s="212">
        <f>SUMIF($A$8:$A$128,"m",F8:F128)</f>
        <v>8000</v>
      </c>
      <c r="G140" s="212">
        <f>SUMIF($A$8:$A$128,"m",G8:G128)</f>
        <v>84133.59999999999</v>
      </c>
      <c r="H140" s="212"/>
      <c r="I140" s="212">
        <f>SUMIF($A$8:$A$128,"m",I8:I128)</f>
        <v>56600</v>
      </c>
      <c r="J140" s="212">
        <f>SUMIF($A$8:$A$128,"m",J8:J128)</f>
        <v>88480.1</v>
      </c>
      <c r="K140" s="212"/>
      <c r="L140" s="212">
        <f>SUMIF($A$8:$A$128,"m",L8:L128)</f>
        <v>31000</v>
      </c>
      <c r="M140" s="212">
        <f>SUMIF($A$8:$A$128,"m",M8:M128)</f>
        <v>114570</v>
      </c>
    </row>
    <row r="141" spans="2:13" ht="18.75" customHeight="1" hidden="1">
      <c r="B141" s="110" t="s">
        <v>134</v>
      </c>
      <c r="C141" s="696"/>
      <c r="D141" s="212"/>
      <c r="E141" s="212"/>
      <c r="F141" s="212">
        <f>SUMIF($A$8:$A$128,"d",F8:F128)</f>
        <v>257778.40000000002</v>
      </c>
      <c r="G141" s="212">
        <f>SUMIF($A$8:$A$128,"d",G8:G128)</f>
        <v>330065.99999999994</v>
      </c>
      <c r="H141" s="212"/>
      <c r="I141" s="212">
        <f>SUMIF($A$8:$A$128,"d",I8:I128)</f>
        <v>164791.1</v>
      </c>
      <c r="J141" s="212">
        <f>SUMIF($A$8:$A$128,"d",J8:J128)</f>
        <v>550560.6</v>
      </c>
      <c r="K141" s="212"/>
      <c r="L141" s="212">
        <f>SUMIF($A$8:$A$128,"d",L8:L128)</f>
        <v>294742</v>
      </c>
      <c r="M141" s="212">
        <f>SUMIF($A$8:$A$128,"d",M8:M128)</f>
        <v>583400.505</v>
      </c>
    </row>
    <row r="142" spans="2:13" ht="18.75" customHeight="1" hidden="1">
      <c r="B142" s="110" t="s">
        <v>299</v>
      </c>
      <c r="C142" s="696"/>
      <c r="D142" s="212"/>
      <c r="E142" s="213" t="e">
        <f>#REF!+E8+E12+#REF!+E15+E17+E19+#REF!+E21+E24+E37+E46+E55+E62+E72+E77+E81+#REF!+#REF!+E97+#REF!+#REF!+#REF!+E107+E109+#REF!+#REF!+E119+E123+#REF!+E90</f>
        <v>#REF!</v>
      </c>
      <c r="F142" s="212"/>
      <c r="G142" s="212"/>
      <c r="H142" s="213" t="e">
        <f>#REF!+H8+H12+#REF!+H15+H17+H19+#REF!+H21+H24+H37+H46+H55+H62+H72+H77+H81+#REF!+#REF!+H97+#REF!+#REF!+#REF!+H107+H109+#REF!+#REF!+H119+H123+#REF!+#REF!+H94+H89+H35</f>
        <v>#REF!</v>
      </c>
      <c r="I142" s="212"/>
      <c r="J142" s="212"/>
      <c r="K142" s="213" t="e">
        <f>K8+K12+K21+K24+K25+K35+K43+K46+K47+#REF!+K52+K53+#REF!+K56+K62+K72+K77+K81+K86+K89+K90+K94+#REF!+K106+#REF!+K110+K115+K120+K124</f>
        <v>#REF!</v>
      </c>
      <c r="L142" s="212"/>
      <c r="M142" s="212"/>
    </row>
    <row r="143" spans="2:13" s="255" customFormat="1" ht="26.25" hidden="1" thickBot="1">
      <c r="B143" s="1009" t="s">
        <v>340</v>
      </c>
      <c r="F143" s="1010">
        <v>107.1</v>
      </c>
      <c r="G143" s="697" t="s">
        <v>341</v>
      </c>
      <c r="H143" s="252"/>
      <c r="I143" s="1010">
        <v>107.6</v>
      </c>
      <c r="J143" s="258" t="s">
        <v>342</v>
      </c>
      <c r="K143" s="252"/>
      <c r="L143" s="1011">
        <v>108</v>
      </c>
      <c r="M143" s="260" t="s">
        <v>343</v>
      </c>
    </row>
    <row r="144" spans="2:13" ht="18.75" customHeight="1" hidden="1">
      <c r="B144" s="110"/>
      <c r="C144" s="696"/>
      <c r="D144" s="212"/>
      <c r="E144" s="213"/>
      <c r="F144" s="212"/>
      <c r="G144" s="212"/>
      <c r="H144" s="213"/>
      <c r="I144" s="212"/>
      <c r="J144" s="212"/>
      <c r="K144" s="213"/>
      <c r="L144" s="212"/>
      <c r="M144" s="212"/>
    </row>
    <row r="145" spans="4:13" ht="12.75" customHeight="1" hidden="1">
      <c r="D145" s="214"/>
      <c r="E145" s="214" t="e">
        <f>E23+#REF!+#REF!+E103+#REF!+E126</f>
        <v>#REF!</v>
      </c>
      <c r="F145" s="214"/>
      <c r="G145" s="214">
        <f>F132+G132</f>
        <v>694533.2</v>
      </c>
      <c r="H145" s="214" t="e">
        <f>H13+H23+#REF!+H36+H48+H84+H93+H101+H103+H112+H113+H126</f>
        <v>#REF!</v>
      </c>
      <c r="I145" s="214"/>
      <c r="J145" s="214">
        <f>I141+J141+I131+J131</f>
        <v>740451.7</v>
      </c>
      <c r="K145" s="214" t="e">
        <f>#REF!+K34+K78+K88+K112</f>
        <v>#REF!</v>
      </c>
      <c r="M145" s="215">
        <f>L132+M132</f>
        <v>1054988.4049999998</v>
      </c>
    </row>
    <row r="146" spans="4:13" ht="12.75" customHeight="1" hidden="1">
      <c r="D146" s="214"/>
      <c r="E146" s="214"/>
      <c r="F146" s="214">
        <f>G145-G146</f>
        <v>124102.19999999995</v>
      </c>
      <c r="G146" s="214">
        <v>570431</v>
      </c>
      <c r="H146" s="214"/>
      <c r="I146" s="214">
        <f>J145-J146</f>
        <v>16620.899999999907</v>
      </c>
      <c r="J146" s="214">
        <v>723830.8</v>
      </c>
      <c r="K146" s="214"/>
      <c r="L146" s="214">
        <f>M145-M146</f>
        <v>-8997.695000000298</v>
      </c>
      <c r="M146" s="214">
        <v>1063986.1</v>
      </c>
    </row>
    <row r="147" spans="2:10" ht="12.75" hidden="1">
      <c r="B147" s="110"/>
      <c r="D147" s="215"/>
      <c r="E147" s="215"/>
      <c r="F147" s="215"/>
      <c r="G147" s="215" t="e">
        <f>103034.1-45166.7+#REF!+#REF!+1503600</f>
        <v>#REF!</v>
      </c>
      <c r="H147" s="215"/>
      <c r="I147" s="215"/>
      <c r="J147" s="215"/>
    </row>
    <row r="148" spans="2:10" ht="12.75" hidden="1">
      <c r="B148" s="110"/>
      <c r="D148" s="216"/>
      <c r="E148" s="216"/>
      <c r="F148" s="216"/>
      <c r="G148" s="216"/>
      <c r="H148" s="216"/>
      <c r="I148" s="216"/>
      <c r="J148" s="216"/>
    </row>
    <row r="149" spans="9:12" ht="12.75" hidden="1">
      <c r="I149" s="215">
        <f>I140+J140</f>
        <v>145080.1</v>
      </c>
      <c r="L149" s="215">
        <f>L140+M140</f>
        <v>145570</v>
      </c>
    </row>
    <row r="150" spans="4:12" ht="12.75" hidden="1">
      <c r="D150" s="217"/>
      <c r="E150" s="217"/>
      <c r="F150" s="217"/>
      <c r="G150" s="217"/>
      <c r="H150" s="217"/>
      <c r="I150" s="217">
        <f>I132+J132</f>
        <v>915809.6000000001</v>
      </c>
      <c r="J150" s="217"/>
      <c r="L150" s="215">
        <f>L132+M132</f>
        <v>1054988.4049999998</v>
      </c>
    </row>
    <row r="151" spans="9:12" ht="12.75" hidden="1">
      <c r="I151" s="77">
        <f>I149*100/I150</f>
        <v>15.841731731137125</v>
      </c>
      <c r="L151" s="77">
        <f>L149*100/L150</f>
        <v>13.79825591542876</v>
      </c>
    </row>
    <row r="152" spans="4:12" ht="12.75" hidden="1">
      <c r="D152" s="217"/>
      <c r="G152" s="218"/>
      <c r="H152" s="218"/>
      <c r="I152" s="218"/>
      <c r="J152" s="218"/>
      <c r="L152" s="77">
        <f>(I151+L151)/2</f>
        <v>14.819993823282942</v>
      </c>
    </row>
    <row r="153" ht="12.75" hidden="1"/>
    <row r="154" ht="12.75" hidden="1">
      <c r="L154" s="1012" t="e">
        <f>L7+L10+L14+L18+#REF!+L22+L28+L33+L40+L44+#REF!+L49+L51+L54+L63+L73+L79+L83+L85+L87+L92+L96+L100+L104+L108+L111+L116+L122+L125</f>
        <v>#REF!</v>
      </c>
    </row>
    <row r="155" ht="12.75" hidden="1"/>
    <row r="156" ht="12.75" hidden="1"/>
    <row r="157" ht="15" hidden="1">
      <c r="L157" s="264" t="e">
        <f>L154+'[2]т.7 рем.2012-2014'!J112</f>
        <v>#REF!</v>
      </c>
    </row>
    <row r="158" ht="12.75" hidden="1"/>
    <row r="159" ht="12.75" hidden="1">
      <c r="L159" s="215">
        <v>759645.8</v>
      </c>
    </row>
    <row r="160" ht="12.75" hidden="1"/>
    <row r="161" ht="12.75">
      <c r="B161" s="148" t="s">
        <v>422</v>
      </c>
    </row>
    <row r="162" spans="2:13" ht="12.75">
      <c r="B162" s="84" t="s">
        <v>6</v>
      </c>
      <c r="C162" s="84"/>
      <c r="D162" s="84"/>
      <c r="E162" s="323">
        <f>E13+E23+E36+E48+E84+E93+E101+E112+E126+E34</f>
        <v>13.290000000000001</v>
      </c>
      <c r="F162" s="323">
        <f>F13+F23+F36+F48+F84+F93+F101+F112+F126+F34</f>
        <v>202828.00000000003</v>
      </c>
      <c r="G162" s="84"/>
      <c r="H162" s="323">
        <f>H78+H88+H112+H34</f>
        <v>15.4</v>
      </c>
      <c r="I162" s="323">
        <f>I78+I88+I112+I34</f>
        <v>160791.1</v>
      </c>
      <c r="J162" s="84"/>
      <c r="K162" s="323">
        <f>K13+K23+K34+K48+K93+K101+K103+K110</f>
        <v>18.5</v>
      </c>
      <c r="L162" s="323">
        <f>L13+L23+L34+L48+L93+L101+L103+L110</f>
        <v>277242</v>
      </c>
      <c r="M162" s="84"/>
    </row>
    <row r="163" spans="2:13" ht="12.75">
      <c r="B163" s="84" t="s">
        <v>8</v>
      </c>
      <c r="C163" s="84"/>
      <c r="D163" s="84"/>
      <c r="E163" s="323" t="s">
        <v>11</v>
      </c>
      <c r="F163" s="323">
        <f>F60+F102+F113</f>
        <v>24950.4</v>
      </c>
      <c r="G163" s="84"/>
      <c r="H163" s="84" t="s">
        <v>417</v>
      </c>
      <c r="I163" s="84">
        <f>I60</f>
        <v>4000</v>
      </c>
      <c r="J163" s="84"/>
      <c r="K163" s="84" t="s">
        <v>417</v>
      </c>
      <c r="L163" s="84">
        <f>L121</f>
        <v>2500</v>
      </c>
      <c r="M163" s="84"/>
    </row>
    <row r="164" spans="2:13" ht="12.75">
      <c r="B164" s="84" t="s">
        <v>105</v>
      </c>
      <c r="C164" s="84"/>
      <c r="D164" s="84"/>
      <c r="E164" s="323" t="s">
        <v>9</v>
      </c>
      <c r="F164" s="323">
        <f>F27</f>
        <v>8000</v>
      </c>
      <c r="G164" s="84"/>
      <c r="H164" s="84" t="s">
        <v>418</v>
      </c>
      <c r="I164" s="323">
        <f>I91+I75+I41+I27</f>
        <v>56600</v>
      </c>
      <c r="J164" s="84"/>
      <c r="K164" s="84" t="s">
        <v>417</v>
      </c>
      <c r="L164" s="323">
        <f>L27</f>
        <v>31000</v>
      </c>
      <c r="M164" s="84"/>
    </row>
    <row r="165" spans="2:13" ht="12.75">
      <c r="B165" s="84" t="s">
        <v>10</v>
      </c>
      <c r="C165" s="84"/>
      <c r="D165" s="84"/>
      <c r="E165" s="323"/>
      <c r="F165" s="323">
        <f>F7+F10+F14+F18+F22+F28+F33+F40+F44+F49+F51+F54+F61+F63+F73+F79+F83+F85+F87+F92+F96+F100+F104+F108+F111+F116+F122+F125</f>
        <v>265778.4</v>
      </c>
      <c r="G165" s="84"/>
      <c r="H165" s="84"/>
      <c r="I165" s="323">
        <f>I7+I10+I14+I18+I22+I28+I33+I40+I44+I49+I51+I54+I61+I63+I73+I79+I83+I85+I87+I92+I96+I100+I104+I108+I111+I116+I122+I125</f>
        <v>221391.1</v>
      </c>
      <c r="J165" s="84"/>
      <c r="K165" s="84"/>
      <c r="L165" s="323">
        <f>L7+L10+L14+L18+L22+L28+L33+L40+L44+L49+L51+L54+L61+L63+L73+L79+L83+L85+L87+L92+L96+L100+L104+L108+L111+L116+L122+L125</f>
        <v>325742</v>
      </c>
      <c r="M165" s="84"/>
    </row>
    <row r="166" spans="2:13" ht="12.75">
      <c r="B166" s="84" t="s">
        <v>7</v>
      </c>
      <c r="C166" s="84"/>
      <c r="D166" s="84"/>
      <c r="E166" s="323">
        <f>E8+E9+E12+E17+E21+E24+E25+E35+E37+E43+E46+E47+E52+E53+E55+E56+E62+E72+E77+E81+E86+E89+E94+E97+E98+E99+E106+E107+E109+E114+E115+E119+E120+E123+E124+E127</f>
        <v>31.283000000000005</v>
      </c>
      <c r="F166" s="84"/>
      <c r="G166" s="323">
        <f>G8+G9+G12+G17+G21+G24+G25+G35+G37+G43+G46+G47+G52+G53+G55+G56+G62+G72+G77+G81+G86+G89+G94+G97+G98+G99+G106+G107+G109+G114+G115+G119+G120+G123+G124+G127</f>
        <v>313307.99999999994</v>
      </c>
      <c r="H166" s="323">
        <f>H8+H9+H12+H17+H21+H24+H25+H35+H37+H43+H46+H47+H52+H53+H55+H56+H62+H72+H77+H81+H86+H89+H94+H97+H98+H99+H106+H107+H109+H114+H115+H119+H120+H123+H124+H127</f>
        <v>63.37</v>
      </c>
      <c r="I166" s="84"/>
      <c r="J166" s="323">
        <f>J8+J9+J12+J17+J21+J24+J25+J35+J37+J43+J46+J47+J52+J53+J55+J56+J62+J72+J77+J81+J86+J89+J94+J97+J98+J99+J106+J107+J109+J114+J115+J119+J120+J123+J124+J127</f>
        <v>546096.5</v>
      </c>
      <c r="K166" s="323">
        <f>K8+K9+K12+K17+K21+K25+K35+K37+K43+K46+K53+K55+K62+K72+K81+K89+K90+K99+K106+K114+K120+K123+K127</f>
        <v>49.16</v>
      </c>
      <c r="L166" s="84"/>
      <c r="M166" s="323">
        <f>M8+M9+M12+M17+M21+M25+M35+M37+M43+M46+M53+M55+M62+M72+M81+M89+M90+M99+M106+M114+M120+M123+M127</f>
        <v>507312.98500000004</v>
      </c>
    </row>
    <row r="167" spans="2:13" ht="12.75">
      <c r="B167" s="84" t="s">
        <v>8</v>
      </c>
      <c r="C167" s="84"/>
      <c r="D167" s="84"/>
      <c r="E167" s="84" t="s">
        <v>415</v>
      </c>
      <c r="F167" s="84"/>
      <c r="G167" s="323">
        <f>G11+G16+G26+G42+G68+G69+G70+G71+G80+G102+G121+G38</f>
        <v>17358</v>
      </c>
      <c r="H167" s="323" t="s">
        <v>9</v>
      </c>
      <c r="I167" s="84"/>
      <c r="J167" s="323">
        <f>J11+J16+J26+J42+J68+J69+J70+J71+J80+J102+J121</f>
        <v>10000</v>
      </c>
      <c r="K167" s="84" t="s">
        <v>420</v>
      </c>
      <c r="L167" s="84"/>
      <c r="M167" s="323">
        <f>M11+M16+M26+M42+M68+M69+M70+M71+M80+M102+M121+M113+M60</f>
        <v>59746.520000000004</v>
      </c>
    </row>
    <row r="168" spans="2:13" ht="12.75">
      <c r="B168" s="84" t="s">
        <v>105</v>
      </c>
      <c r="C168" s="84"/>
      <c r="D168" s="84"/>
      <c r="E168" s="84" t="s">
        <v>416</v>
      </c>
      <c r="F168" s="84"/>
      <c r="G168" s="323">
        <f>G15+G19+G20+G29+G30+G31+G32+G39+G45+G50+G57+G58+G59+G64+G65+G66+G67+G74+G95+G105+G117+G118+G128</f>
        <v>84133.59999999999</v>
      </c>
      <c r="H168" s="84" t="s">
        <v>419</v>
      </c>
      <c r="I168" s="84"/>
      <c r="J168" s="323">
        <f>J15+J19+J20+J29+J30+J31+J32+J39+J45+J50+J57+J58+J59+J64+J65+J66+J67+J74+J95+J105+J117+J118+J128</f>
        <v>88480.1</v>
      </c>
      <c r="K168" s="84" t="s">
        <v>421</v>
      </c>
      <c r="L168" s="84"/>
      <c r="M168" s="323">
        <f>M15+M19+M20+M29+M30+M31+M32+M39+M45+M50+M57+M58+M59+M64+M65+M66+M67+M74+M95+M105+M117+M118+M128</f>
        <v>114570</v>
      </c>
    </row>
    <row r="169" spans="2:13" ht="12.75">
      <c r="B169" s="84" t="s">
        <v>10</v>
      </c>
      <c r="C169" s="84"/>
      <c r="D169" s="84"/>
      <c r="E169" s="323">
        <f>E7+E10+E14+E18+E22+E28+E33+E40+E44+E49+E51+E54+E61+E63+E73+E79+E83+E85+E87+E92+E96+E100+E104+E108+E111+E116+E122+E125</f>
        <v>45.37300000000001</v>
      </c>
      <c r="F169" s="84"/>
      <c r="G169" s="323">
        <f>G7+G10+G14+G18+G22+G28+G33+G40+G44+G49+G51+G54+G61+G63+G73+G79+G83+G85+G87+G92+G96+G100+G104+G108+G111+G116+G122+G125</f>
        <v>424754.8</v>
      </c>
      <c r="H169" s="323">
        <f>H7+H10+H14+H18+H22+H28+H33+H40+H44+H49+H51+H54+H61+H63+H73+H79+H83+H85+H87+H92+H96+H100+H104+H108+H111+H116+H122+H125</f>
        <v>80.77000000000001</v>
      </c>
      <c r="I169" s="84"/>
      <c r="J169" s="323">
        <f>J7+J10+J14+J18+J22+J28+J33+J40+J44+J49+J51+J54+J61+J63+J73+J79+J83+J85+J87+J92+J96+J100+J104+J108+J111+J116+J122+J125</f>
        <v>669318.5</v>
      </c>
      <c r="K169" s="323">
        <f>K7+K10+K14+K18+K22+K28+K33+K40+K44+K49+K51+K54+K61+K63+K73+K79+K83+K85+K87+K92+K96+K100+K104+K108+K111+K116+K122+K125</f>
        <v>72.36000000000001</v>
      </c>
      <c r="L169" s="84"/>
      <c r="M169" s="323">
        <f>M7+M10+M14+M18+M22+M28+M33+M40+M44+M49+M51+M54+M61+M63+M73+M79+M83+M85+M87+M92+M96+M100+M104+M108+M111+M116+M122+M125</f>
        <v>723546.405</v>
      </c>
    </row>
    <row r="170" ht="12.75"/>
    <row r="171" ht="12.75"/>
    <row r="172" spans="2:13" ht="12.75">
      <c r="B172" s="84" t="s">
        <v>6</v>
      </c>
      <c r="E172" s="84">
        <v>61.095</v>
      </c>
      <c r="F172" s="84">
        <v>384618.4</v>
      </c>
      <c r="G172" s="84"/>
      <c r="H172" s="84">
        <v>99.55</v>
      </c>
      <c r="I172" s="84">
        <v>649278</v>
      </c>
      <c r="J172" s="84"/>
      <c r="K172" s="84">
        <v>64.2</v>
      </c>
      <c r="L172" s="84">
        <v>436077.8</v>
      </c>
      <c r="M172" s="84"/>
    </row>
    <row r="173" spans="2:13" ht="12.75">
      <c r="B173" s="84" t="s">
        <v>8</v>
      </c>
      <c r="E173" s="84" t="s">
        <v>417</v>
      </c>
      <c r="F173" s="84">
        <v>1020.4</v>
      </c>
      <c r="G173" s="84"/>
      <c r="H173" s="84" t="s">
        <v>9</v>
      </c>
      <c r="I173" s="84"/>
      <c r="J173" s="84"/>
      <c r="K173" s="84" t="s">
        <v>11</v>
      </c>
      <c r="L173" s="84">
        <v>9500</v>
      </c>
      <c r="M173" s="84"/>
    </row>
    <row r="174" spans="2:13" ht="12.75">
      <c r="B174" s="84" t="s">
        <v>10</v>
      </c>
      <c r="E174" s="84"/>
      <c r="F174" s="84">
        <v>385638.8</v>
      </c>
      <c r="G174" s="84"/>
      <c r="H174" s="84"/>
      <c r="I174" s="84">
        <v>649278</v>
      </c>
      <c r="J174" s="84"/>
      <c r="K174" s="84"/>
      <c r="L174" s="84">
        <v>445577.8</v>
      </c>
      <c r="M174" s="84"/>
    </row>
    <row r="175" spans="2:13" ht="12.75">
      <c r="B175" s="84" t="s">
        <v>7</v>
      </c>
      <c r="E175" s="84">
        <v>10.685</v>
      </c>
      <c r="F175" s="84"/>
      <c r="G175" s="84">
        <v>116804.202</v>
      </c>
      <c r="H175" s="84">
        <v>29.97</v>
      </c>
      <c r="I175" s="84"/>
      <c r="J175" s="84">
        <v>212068.2</v>
      </c>
      <c r="K175" s="84">
        <v>26.76</v>
      </c>
      <c r="L175" s="84"/>
      <c r="M175" s="84">
        <v>221012</v>
      </c>
    </row>
    <row r="176" spans="2:13" ht="12.75">
      <c r="B176" s="84" t="s">
        <v>8</v>
      </c>
      <c r="E176" s="84"/>
      <c r="F176" s="84"/>
      <c r="G176" s="84"/>
      <c r="H176" s="84" t="s">
        <v>9</v>
      </c>
      <c r="I176" s="84"/>
      <c r="J176" s="84">
        <v>5000</v>
      </c>
      <c r="K176" s="84" t="s">
        <v>417</v>
      </c>
      <c r="L176" s="84"/>
      <c r="M176" s="84">
        <v>2500</v>
      </c>
    </row>
    <row r="177" spans="2:13" ht="12.75">
      <c r="B177" s="84" t="s">
        <v>10</v>
      </c>
      <c r="E177" s="84">
        <v>71.78</v>
      </c>
      <c r="F177" s="84">
        <v>385638.8</v>
      </c>
      <c r="G177" s="84">
        <v>116804.202</v>
      </c>
      <c r="H177" s="84">
        <v>129.52</v>
      </c>
      <c r="I177" s="84">
        <v>649278</v>
      </c>
      <c r="J177" s="84">
        <v>217068.2</v>
      </c>
      <c r="K177" s="84">
        <v>90.96</v>
      </c>
      <c r="L177" s="84">
        <v>445577.8</v>
      </c>
      <c r="M177" s="84">
        <v>223512</v>
      </c>
    </row>
    <row r="178" ht="12.75"/>
    <row r="179" ht="12.75"/>
    <row r="180" ht="12.75"/>
    <row r="181" spans="2:13" ht="12.75">
      <c r="B181" s="84" t="s">
        <v>423</v>
      </c>
      <c r="C181" s="84"/>
      <c r="D181" s="84"/>
      <c r="E181" s="323">
        <f>E162+E172</f>
        <v>74.385</v>
      </c>
      <c r="F181" s="323">
        <f>F162+F172+F163+F173</f>
        <v>613417.2000000001</v>
      </c>
      <c r="G181" s="84"/>
      <c r="H181" s="323">
        <f>H162+H172</f>
        <v>114.95</v>
      </c>
      <c r="I181" s="323">
        <f>I162+I163+I172</f>
        <v>814069.1</v>
      </c>
      <c r="J181" s="84"/>
      <c r="K181" s="323">
        <f>K162+K172</f>
        <v>82.7</v>
      </c>
      <c r="L181" s="323">
        <f>L162+L163+L172+L173</f>
        <v>725319.8</v>
      </c>
      <c r="M181" s="323">
        <f>E181+H181+K181</f>
        <v>272.035</v>
      </c>
    </row>
    <row r="182" spans="2:13" ht="12.75">
      <c r="B182" s="84"/>
      <c r="C182" s="84"/>
      <c r="D182" s="84"/>
      <c r="E182" s="323" t="s">
        <v>9</v>
      </c>
      <c r="F182" s="323">
        <f>F164</f>
        <v>8000</v>
      </c>
      <c r="G182" s="84"/>
      <c r="H182" s="84" t="s">
        <v>418</v>
      </c>
      <c r="I182" s="323">
        <f>I164</f>
        <v>56600</v>
      </c>
      <c r="J182" s="84"/>
      <c r="K182" s="84" t="s">
        <v>417</v>
      </c>
      <c r="L182" s="323">
        <f>L164</f>
        <v>31000</v>
      </c>
      <c r="M182" s="84">
        <f>6</f>
        <v>6</v>
      </c>
    </row>
    <row r="183" spans="6:12" ht="12.75">
      <c r="F183" s="215">
        <f>F165+F174</f>
        <v>651417.2</v>
      </c>
      <c r="I183" s="215">
        <f>I165+I174</f>
        <v>870669.1</v>
      </c>
      <c r="L183" s="215">
        <f>L165+L174</f>
        <v>771319.8</v>
      </c>
    </row>
    <row r="184" spans="2:13" ht="12.75">
      <c r="B184" s="77" t="s">
        <v>428</v>
      </c>
      <c r="E184" s="215">
        <f>E175+E166</f>
        <v>41.968</v>
      </c>
      <c r="F184" s="215"/>
      <c r="G184" s="215">
        <f>G166+G167</f>
        <v>330665.99999999994</v>
      </c>
      <c r="H184" s="215">
        <f>H175+H166</f>
        <v>93.34</v>
      </c>
      <c r="I184" s="215"/>
      <c r="J184" s="215">
        <f>J166+J167+J175+J176</f>
        <v>773164.7</v>
      </c>
      <c r="K184" s="215">
        <f>K175+K166</f>
        <v>75.92</v>
      </c>
      <c r="L184" s="215"/>
      <c r="M184" s="215">
        <f>M166+M167+M175+M176</f>
        <v>790571.505</v>
      </c>
    </row>
    <row r="185" spans="5:13" ht="12.75">
      <c r="E185" s="77" t="s">
        <v>416</v>
      </c>
      <c r="F185" s="215"/>
      <c r="G185" s="215">
        <f>G168</f>
        <v>84133.59999999999</v>
      </c>
      <c r="H185" s="84" t="s">
        <v>419</v>
      </c>
      <c r="I185" s="215"/>
      <c r="J185" s="215">
        <f>J168</f>
        <v>88480.1</v>
      </c>
      <c r="K185" s="84" t="s">
        <v>421</v>
      </c>
      <c r="L185" s="215"/>
      <c r="M185" s="215">
        <f>M168</f>
        <v>114570</v>
      </c>
    </row>
    <row r="186" ht="12.75"/>
    <row r="187" spans="2:13" ht="12.75">
      <c r="B187" s="84" t="s">
        <v>424</v>
      </c>
      <c r="C187" s="84"/>
      <c r="D187" s="84"/>
      <c r="E187" s="84">
        <f>'[2]т.7 рем.2012-2014'!C36+'[2]т.7 рем.2012-2014'!C48+'[2]т.7 рем.2012-2014'!C67+'[2]т.7 рем.2012-2014'!C74</f>
        <v>18.08</v>
      </c>
      <c r="F187" s="84"/>
      <c r="G187" s="84"/>
      <c r="H187" s="84">
        <f>'[2]т.7 рем.2012-2014'!F74+'[2]т.7 рем.2012-2014'!F67+'[2]т.7 рем.2012-2014'!F54+'[2]т.7 рем.2012-2014'!F48+'[2]т.7 рем.2012-2014'!F36</f>
        <v>18.5</v>
      </c>
      <c r="I187" s="84"/>
      <c r="J187" s="84"/>
      <c r="K187" s="84">
        <f>'[2]т.7 рем.2012-2014'!I74+'[2]т.7 рем.2012-2014'!I67+'[2]т.7 рем.2012-2014'!I54+'[2]т.7 рем.2012-2014'!I48+'[2]т.7 рем.2012-2014'!I36</f>
        <v>11</v>
      </c>
      <c r="L187" s="84"/>
      <c r="M187" s="77">
        <f aca="true" t="shared" si="26" ref="M187:M193">E187+H187+K187</f>
        <v>47.58</v>
      </c>
    </row>
    <row r="188" spans="2:13" ht="12.75">
      <c r="B188" s="84" t="s">
        <v>425</v>
      </c>
      <c r="C188" s="84"/>
      <c r="D188" s="84"/>
      <c r="E188" s="84">
        <f>'[2]т.7 рем.2012-2014'!C11</f>
        <v>4</v>
      </c>
      <c r="F188" s="84"/>
      <c r="G188" s="84"/>
      <c r="H188" s="323">
        <f>H103+'[2]т.7 рем.2012-2014'!F11+'[2]т.7 рем.2012-2014'!F85</f>
        <v>4</v>
      </c>
      <c r="I188" s="84"/>
      <c r="J188" s="84"/>
      <c r="K188" s="323">
        <f>K103+'[2]т.7 рем.2012-2014'!I11+'[2]т.7 рем.2012-2014'!I85</f>
        <v>1.7</v>
      </c>
      <c r="L188" s="84"/>
      <c r="M188" s="77">
        <f t="shared" si="26"/>
        <v>9.7</v>
      </c>
    </row>
    <row r="189" spans="2:13" ht="12.75">
      <c r="B189" s="84" t="s">
        <v>426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77">
        <f t="shared" si="26"/>
        <v>0</v>
      </c>
    </row>
    <row r="190" spans="2:13" ht="12.75">
      <c r="B190" s="84" t="s">
        <v>427</v>
      </c>
      <c r="C190" s="84"/>
      <c r="D190" s="84"/>
      <c r="E190" s="323">
        <f>E36+'[2]т.7 рем.2012-2014'!C59+'[2]т.7 рем.2012-2014'!C16</f>
        <v>7.525</v>
      </c>
      <c r="F190" s="84"/>
      <c r="G190" s="84"/>
      <c r="H190" s="323">
        <f>H36+'[2]т.7 рем.2012-2014'!F99+'[2]т.7 рем.2012-2014'!F83+'[2]т.7 рем.2012-2014'!F59+'[2]т.7 рем.2012-2014'!F16</f>
        <v>12.38</v>
      </c>
      <c r="I190" s="84"/>
      <c r="J190" s="84"/>
      <c r="K190" s="323">
        <f>K36+'[2]т.7 рем.2012-2014'!I99+'[2]т.7 рем.2012-2014'!I83+'[2]т.7 рем.2012-2014'!I59+'[2]т.7 рем.2012-2014'!I16</f>
        <v>20</v>
      </c>
      <c r="L190" s="84"/>
      <c r="M190" s="77">
        <f t="shared" si="26"/>
        <v>39.905</v>
      </c>
    </row>
    <row r="191" spans="2:13" ht="12.75">
      <c r="B191" s="84" t="s">
        <v>229</v>
      </c>
      <c r="C191" s="84"/>
      <c r="D191" s="84"/>
      <c r="E191" s="323">
        <f>E48+'[2]т.7 рем.2012-2014'!C69</f>
        <v>4.66</v>
      </c>
      <c r="F191" s="84"/>
      <c r="G191" s="84"/>
      <c r="H191" s="323">
        <f>H48+'[2]т.7 рем.2012-2014'!F42+'[2]т.7 рем.2012-2014'!F69</f>
        <v>5.22</v>
      </c>
      <c r="I191" s="84"/>
      <c r="J191" s="84"/>
      <c r="K191" s="323">
        <f>K48+'[2]т.7 рем.2012-2014'!I42+'[2]т.7 рем.2012-2014'!I69</f>
        <v>7</v>
      </c>
      <c r="L191" s="84"/>
      <c r="M191" s="77">
        <f t="shared" si="26"/>
        <v>16.88</v>
      </c>
    </row>
    <row r="192" spans="2:13" ht="12.75">
      <c r="B192" s="84" t="s">
        <v>201</v>
      </c>
      <c r="C192" s="84"/>
      <c r="D192" s="84"/>
      <c r="E192" s="323">
        <f>E13</f>
        <v>2.5</v>
      </c>
      <c r="F192" s="84"/>
      <c r="G192" s="84"/>
      <c r="H192" s="323">
        <f>H13+'[2]т.7 рем.2012-2014'!F26</f>
        <v>4.95</v>
      </c>
      <c r="I192" s="84"/>
      <c r="J192" s="84"/>
      <c r="K192" s="323">
        <f>K13+'[2]т.7 рем.2012-2014'!I26</f>
        <v>3.7</v>
      </c>
      <c r="L192" s="84"/>
      <c r="M192" s="77">
        <f t="shared" si="26"/>
        <v>11.15</v>
      </c>
    </row>
    <row r="193" spans="2:13" ht="12.75">
      <c r="B193" s="84" t="s">
        <v>257</v>
      </c>
      <c r="C193" s="84"/>
      <c r="D193" s="84"/>
      <c r="E193" s="323">
        <f>E101+E84+'[2]т.7 рем.2012-2014'!C66+'[2]т.7 рем.2012-2014'!C86</f>
        <v>9.79</v>
      </c>
      <c r="F193" s="84"/>
      <c r="G193" s="84"/>
      <c r="H193" s="323">
        <f>H101+H84+'[2]т.7 рем.2012-2014'!F66+'[2]т.7 рем.2012-2014'!F86</f>
        <v>7.6</v>
      </c>
      <c r="I193" s="84"/>
      <c r="J193" s="84"/>
      <c r="K193" s="323">
        <f>K101+K84+'[2]т.7 рем.2012-2014'!I66+'[2]т.7 рем.2012-2014'!I86</f>
        <v>9.4</v>
      </c>
      <c r="L193" s="84"/>
      <c r="M193" s="77">
        <f t="shared" si="26"/>
        <v>26.79</v>
      </c>
    </row>
    <row r="205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</sheetData>
  <sheetProtection/>
  <mergeCells count="6">
    <mergeCell ref="D4:G4"/>
    <mergeCell ref="B2:M2"/>
    <mergeCell ref="B4:B6"/>
    <mergeCell ref="C4:C6"/>
    <mergeCell ref="H4:J4"/>
    <mergeCell ref="K4:M4"/>
  </mergeCells>
  <conditionalFormatting sqref="H95:L95 D130:M131 C144 E134:M135 J92 J94:M94 G94 H92:I94 K79:M79 L16 K16:K17 H7:J91 C7:C142 D7:G15 K7:M15 K80:L93 G16:G92 D16:F95 K18:L78 D96:M128 M80:M92 M16:M78">
    <cfRule type="cellIs" priority="1" dxfId="0" operator="equal" stopIfTrue="1">
      <formula>0</formula>
    </cfRule>
  </conditionalFormatting>
  <printOptions horizontalCentered="1"/>
  <pageMargins left="0.3937007874015748" right="0.1968503937007874" top="0.5905511811023623" bottom="0.1968503937007874" header="0.5118110236220472" footer="0.5118110236220472"/>
  <pageSetup fitToHeight="9" fitToWidth="1" horizontalDpi="600" verticalDpi="600" orientation="portrait" paperSize="9" scale="94" r:id="rId3"/>
  <rowBreaks count="3" manualBreakCount="3">
    <brk id="18" min="1" max="13" man="1"/>
    <brk id="32" min="1" max="13" man="1"/>
    <brk id="44" min="1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showZeros="0" zoomScaleSheetLayoutView="96" zoomScalePageLayoutView="0" workbookViewId="0" topLeftCell="A1">
      <selection activeCell="C8" sqref="C8"/>
    </sheetView>
  </sheetViews>
  <sheetFormatPr defaultColWidth="9.00390625" defaultRowHeight="12.75"/>
  <cols>
    <col min="1" max="1" width="43.375" style="395" customWidth="1"/>
    <col min="2" max="2" width="6.75390625" style="395" customWidth="1"/>
    <col min="3" max="3" width="8.25390625" style="395" customWidth="1"/>
    <col min="4" max="4" width="14.75390625" style="395" customWidth="1"/>
    <col min="5" max="5" width="14.00390625" style="395" customWidth="1"/>
    <col min="6" max="6" width="6.25390625" style="77" hidden="1" customWidth="1"/>
    <col min="7" max="8" width="11.25390625" style="77" hidden="1" customWidth="1"/>
    <col min="9" max="9" width="6.375" style="77" hidden="1" customWidth="1"/>
    <col min="10" max="10" width="12.375" style="77" hidden="1" customWidth="1"/>
    <col min="11" max="11" width="11.125" style="77" hidden="1" customWidth="1"/>
    <col min="12" max="16384" width="9.125" style="77" customWidth="1"/>
  </cols>
  <sheetData>
    <row r="1" spans="1:10" ht="12" customHeight="1">
      <c r="A1" s="403"/>
      <c r="B1" s="403"/>
      <c r="C1" s="404"/>
      <c r="D1" s="404"/>
      <c r="E1" s="372"/>
      <c r="F1" s="78"/>
      <c r="G1" s="78"/>
      <c r="H1" s="78"/>
      <c r="I1" s="78"/>
      <c r="J1" s="78"/>
    </row>
    <row r="2" spans="1:10" ht="12" customHeight="1">
      <c r="A2" s="403"/>
      <c r="B2" s="403"/>
      <c r="C2" s="404"/>
      <c r="D2" s="404"/>
      <c r="E2" s="374"/>
      <c r="F2" s="140"/>
      <c r="G2" s="140"/>
      <c r="H2" s="140"/>
      <c r="I2" s="140"/>
      <c r="J2" s="140"/>
    </row>
    <row r="3" spans="1:10" ht="12" customHeight="1">
      <c r="A3" s="405"/>
      <c r="B3" s="405"/>
      <c r="C3" s="404"/>
      <c r="D3" s="404"/>
      <c r="E3" s="374"/>
      <c r="F3" s="140"/>
      <c r="G3" s="140"/>
      <c r="H3" s="140"/>
      <c r="I3" s="140"/>
      <c r="J3" s="140"/>
    </row>
    <row r="4" spans="1:10" ht="12" customHeight="1">
      <c r="A4" s="405"/>
      <c r="B4" s="405"/>
      <c r="C4" s="404"/>
      <c r="D4" s="404"/>
      <c r="E4" s="375"/>
      <c r="F4" s="81"/>
      <c r="G4" s="81"/>
      <c r="H4" s="81"/>
      <c r="I4" s="81"/>
      <c r="J4" s="81"/>
    </row>
    <row r="5" spans="1:11" ht="45.75" customHeight="1">
      <c r="A5" s="976" t="s">
        <v>412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</row>
    <row r="6" spans="1:10" ht="15.75" customHeight="1" thickBot="1">
      <c r="A6" s="376"/>
      <c r="B6" s="376"/>
      <c r="C6" s="406"/>
      <c r="D6" s="406"/>
      <c r="E6" s="406"/>
      <c r="F6" s="164"/>
      <c r="G6" s="164"/>
      <c r="H6" s="164"/>
      <c r="I6" s="164"/>
      <c r="J6" s="164"/>
    </row>
    <row r="7" spans="1:11" ht="29.25" customHeight="1">
      <c r="A7" s="989" t="s">
        <v>108</v>
      </c>
      <c r="B7" s="980" t="s">
        <v>109</v>
      </c>
      <c r="C7" s="973" t="s">
        <v>192</v>
      </c>
      <c r="D7" s="974"/>
      <c r="E7" s="975"/>
      <c r="F7" s="982" t="s">
        <v>146</v>
      </c>
      <c r="G7" s="982"/>
      <c r="H7" s="983"/>
      <c r="I7" s="984" t="s">
        <v>194</v>
      </c>
      <c r="J7" s="982"/>
      <c r="K7" s="983"/>
    </row>
    <row r="8" spans="1:11" ht="66" customHeight="1">
      <c r="A8" s="990"/>
      <c r="B8" s="981"/>
      <c r="C8" s="378" t="s">
        <v>111</v>
      </c>
      <c r="D8" s="381" t="s">
        <v>112</v>
      </c>
      <c r="E8" s="381" t="s">
        <v>113</v>
      </c>
      <c r="F8" s="407" t="s">
        <v>111</v>
      </c>
      <c r="G8" s="83" t="s">
        <v>112</v>
      </c>
      <c r="H8" s="83" t="s">
        <v>113</v>
      </c>
      <c r="I8" s="219" t="s">
        <v>111</v>
      </c>
      <c r="J8" s="83" t="s">
        <v>112</v>
      </c>
      <c r="K8" s="83" t="s">
        <v>113</v>
      </c>
    </row>
    <row r="9" spans="1:11" ht="14.25" customHeight="1">
      <c r="A9" s="990"/>
      <c r="B9" s="981"/>
      <c r="C9" s="379" t="s">
        <v>106</v>
      </c>
      <c r="D9" s="383" t="s">
        <v>114</v>
      </c>
      <c r="E9" s="383" t="s">
        <v>114</v>
      </c>
      <c r="F9" s="408" t="s">
        <v>106</v>
      </c>
      <c r="G9" s="221" t="s">
        <v>114</v>
      </c>
      <c r="H9" s="221" t="s">
        <v>114</v>
      </c>
      <c r="I9" s="220" t="s">
        <v>106</v>
      </c>
      <c r="J9" s="221" t="s">
        <v>114</v>
      </c>
      <c r="K9" s="221" t="s">
        <v>114</v>
      </c>
    </row>
    <row r="10" spans="1:11" ht="14.25">
      <c r="A10" s="466" t="s">
        <v>202</v>
      </c>
      <c r="B10" s="88"/>
      <c r="C10" s="222">
        <v>4</v>
      </c>
      <c r="D10" s="222">
        <v>25000</v>
      </c>
      <c r="E10" s="222">
        <v>0</v>
      </c>
      <c r="F10" s="409">
        <f aca="true" t="shared" si="0" ref="F10:K10">SUM(F11:F13)</f>
        <v>2.6</v>
      </c>
      <c r="G10" s="222">
        <f t="shared" si="0"/>
        <v>0</v>
      </c>
      <c r="H10" s="222">
        <f t="shared" si="0"/>
        <v>22331.8</v>
      </c>
      <c r="I10" s="222">
        <f t="shared" si="0"/>
        <v>1.5</v>
      </c>
      <c r="J10" s="222">
        <f t="shared" si="0"/>
        <v>0</v>
      </c>
      <c r="K10" s="222">
        <f t="shared" si="0"/>
        <v>7503.5</v>
      </c>
    </row>
    <row r="11" spans="1:11" ht="24" customHeight="1">
      <c r="A11" s="481" t="s">
        <v>300</v>
      </c>
      <c r="B11" s="178" t="s">
        <v>115</v>
      </c>
      <c r="C11" s="204">
        <v>4</v>
      </c>
      <c r="D11" s="204">
        <v>25000</v>
      </c>
      <c r="E11" s="205">
        <v>0</v>
      </c>
      <c r="F11" s="410"/>
      <c r="G11" s="205"/>
      <c r="H11" s="205"/>
      <c r="I11" s="205"/>
      <c r="J11" s="205"/>
      <c r="K11" s="205"/>
    </row>
    <row r="12" spans="1:11" ht="12.75" hidden="1">
      <c r="A12" s="481" t="s">
        <v>301</v>
      </c>
      <c r="B12" s="178" t="s">
        <v>121</v>
      </c>
      <c r="C12" s="203"/>
      <c r="D12" s="203"/>
      <c r="E12" s="203"/>
      <c r="F12" s="411">
        <v>2.6</v>
      </c>
      <c r="G12" s="203"/>
      <c r="H12" s="203">
        <v>22331.8</v>
      </c>
      <c r="I12" s="203"/>
      <c r="J12" s="203"/>
      <c r="K12" s="203"/>
    </row>
    <row r="13" spans="1:11" ht="12.75" hidden="1">
      <c r="A13" s="802" t="s">
        <v>344</v>
      </c>
      <c r="B13" s="178" t="s">
        <v>121</v>
      </c>
      <c r="C13" s="227"/>
      <c r="D13" s="227"/>
      <c r="E13" s="227"/>
      <c r="F13" s="412"/>
      <c r="G13" s="227"/>
      <c r="H13" s="227"/>
      <c r="I13" s="227">
        <v>1.5</v>
      </c>
      <c r="J13" s="227"/>
      <c r="K13" s="290">
        <v>7503.5</v>
      </c>
    </row>
    <row r="14" spans="1:11" ht="14.25">
      <c r="A14" s="466" t="s">
        <v>196</v>
      </c>
      <c r="B14" s="701"/>
      <c r="C14" s="222">
        <v>6.868</v>
      </c>
      <c r="D14" s="222">
        <v>31114.2</v>
      </c>
      <c r="E14" s="222">
        <v>2000</v>
      </c>
      <c r="F14" s="409">
        <f aca="true" t="shared" si="1" ref="F14:K14">SUM(F15:F16)</f>
        <v>5</v>
      </c>
      <c r="G14" s="222">
        <f t="shared" si="1"/>
        <v>20000</v>
      </c>
      <c r="H14" s="222">
        <f t="shared" si="1"/>
        <v>8623.1</v>
      </c>
      <c r="I14" s="222">
        <f t="shared" si="1"/>
        <v>20</v>
      </c>
      <c r="J14" s="222">
        <f t="shared" si="1"/>
        <v>29823.6</v>
      </c>
      <c r="K14" s="222">
        <f t="shared" si="1"/>
        <v>0</v>
      </c>
    </row>
    <row r="15" spans="1:11" ht="12.75" hidden="1">
      <c r="A15" s="803" t="s">
        <v>302</v>
      </c>
      <c r="B15" s="195" t="s">
        <v>121</v>
      </c>
      <c r="C15" s="225"/>
      <c r="D15" s="225"/>
      <c r="E15" s="225"/>
      <c r="F15" s="413">
        <v>1</v>
      </c>
      <c r="G15" s="202"/>
      <c r="H15" s="202">
        <v>8623.1</v>
      </c>
      <c r="I15" s="202"/>
      <c r="J15" s="202"/>
      <c r="K15" s="202"/>
    </row>
    <row r="16" spans="1:11" ht="25.5">
      <c r="A16" s="804" t="s">
        <v>163</v>
      </c>
      <c r="B16" s="196" t="s">
        <v>121</v>
      </c>
      <c r="C16" s="203">
        <v>6.2</v>
      </c>
      <c r="D16" s="203">
        <v>31114.2</v>
      </c>
      <c r="E16" s="203">
        <v>0</v>
      </c>
      <c r="F16" s="411">
        <v>4</v>
      </c>
      <c r="G16" s="203">
        <f>50000-18000-12000</f>
        <v>20000</v>
      </c>
      <c r="H16" s="203"/>
      <c r="I16" s="203">
        <v>20</v>
      </c>
      <c r="J16" s="203">
        <v>29823.6</v>
      </c>
      <c r="K16" s="203"/>
    </row>
    <row r="17" spans="1:11" ht="12.75">
      <c r="A17" s="805" t="s">
        <v>4</v>
      </c>
      <c r="B17" s="191" t="s">
        <v>115</v>
      </c>
      <c r="C17" s="206">
        <v>0.668</v>
      </c>
      <c r="D17" s="206">
        <v>0</v>
      </c>
      <c r="E17" s="206">
        <v>2000</v>
      </c>
      <c r="F17" s="415"/>
      <c r="G17" s="206"/>
      <c r="H17" s="206"/>
      <c r="I17" s="206"/>
      <c r="J17" s="206"/>
      <c r="K17" s="206"/>
    </row>
    <row r="18" spans="1:11" ht="14.25">
      <c r="A18" s="466" t="s">
        <v>116</v>
      </c>
      <c r="B18" s="704"/>
      <c r="C18" s="222">
        <v>9</v>
      </c>
      <c r="D18" s="222">
        <v>9000</v>
      </c>
      <c r="E18" s="222">
        <v>0</v>
      </c>
      <c r="F18" s="409">
        <f aca="true" t="shared" si="2" ref="F18:K18">F19</f>
        <v>0</v>
      </c>
      <c r="G18" s="222">
        <f t="shared" si="2"/>
        <v>0</v>
      </c>
      <c r="H18" s="222">
        <f t="shared" si="2"/>
        <v>0</v>
      </c>
      <c r="I18" s="222">
        <f t="shared" si="2"/>
        <v>3</v>
      </c>
      <c r="J18" s="222">
        <f t="shared" si="2"/>
        <v>24000</v>
      </c>
      <c r="K18" s="222">
        <f t="shared" si="2"/>
        <v>0</v>
      </c>
    </row>
    <row r="19" spans="1:11" ht="29.25" customHeight="1">
      <c r="A19" s="481" t="s">
        <v>153</v>
      </c>
      <c r="B19" s="705" t="s">
        <v>121</v>
      </c>
      <c r="C19" s="228">
        <v>9</v>
      </c>
      <c r="D19" s="228">
        <v>9000</v>
      </c>
      <c r="E19" s="228">
        <v>0</v>
      </c>
      <c r="F19" s="414"/>
      <c r="G19" s="228"/>
      <c r="H19" s="228"/>
      <c r="I19" s="228">
        <v>3</v>
      </c>
      <c r="J19" s="228">
        <v>24000</v>
      </c>
      <c r="K19" s="228"/>
    </row>
    <row r="20" spans="1:11" ht="14.25">
      <c r="A20" s="466" t="s">
        <v>304</v>
      </c>
      <c r="B20" s="88"/>
      <c r="C20" s="222">
        <v>4.327</v>
      </c>
      <c r="D20" s="222">
        <v>34135.3</v>
      </c>
      <c r="E20" s="222">
        <v>5515.4</v>
      </c>
      <c r="F20" s="409">
        <f aca="true" t="shared" si="3" ref="F20:K20">SUM(F21:F24)</f>
        <v>7.2</v>
      </c>
      <c r="G20" s="222">
        <f t="shared" si="3"/>
        <v>28000</v>
      </c>
      <c r="H20" s="222">
        <f t="shared" si="3"/>
        <v>19283.3</v>
      </c>
      <c r="I20" s="222">
        <f t="shared" si="3"/>
        <v>4.4</v>
      </c>
      <c r="J20" s="222">
        <f t="shared" si="3"/>
        <v>30000</v>
      </c>
      <c r="K20" s="222">
        <f t="shared" si="3"/>
        <v>17704.6</v>
      </c>
    </row>
    <row r="21" spans="1:11" ht="12.75">
      <c r="A21" s="481" t="s">
        <v>305</v>
      </c>
      <c r="B21" s="178" t="s">
        <v>115</v>
      </c>
      <c r="C21" s="204">
        <v>1.8</v>
      </c>
      <c r="D21" s="204">
        <v>14241.1</v>
      </c>
      <c r="E21" s="204">
        <v>0</v>
      </c>
      <c r="F21" s="411"/>
      <c r="G21" s="203"/>
      <c r="H21" s="203"/>
      <c r="I21" s="203"/>
      <c r="J21" s="203"/>
      <c r="K21" s="203"/>
    </row>
    <row r="22" spans="1:11" ht="12.75">
      <c r="A22" s="481" t="s">
        <v>306</v>
      </c>
      <c r="B22" s="178" t="s">
        <v>115</v>
      </c>
      <c r="C22" s="204">
        <v>0</v>
      </c>
      <c r="D22" s="204">
        <v>0</v>
      </c>
      <c r="E22" s="204">
        <v>0</v>
      </c>
      <c r="F22" s="411"/>
      <c r="G22" s="203"/>
      <c r="H22" s="203"/>
      <c r="I22" s="235">
        <v>1.7</v>
      </c>
      <c r="J22" s="235"/>
      <c r="K22" s="235">
        <v>17704.6</v>
      </c>
    </row>
    <row r="23" spans="1:11" ht="12.75">
      <c r="A23" s="481" t="s">
        <v>307</v>
      </c>
      <c r="B23" s="178" t="s">
        <v>115</v>
      </c>
      <c r="C23" s="204">
        <v>0.85</v>
      </c>
      <c r="D23" s="204">
        <v>0</v>
      </c>
      <c r="E23" s="204">
        <v>5515.4</v>
      </c>
      <c r="F23" s="411">
        <v>3.2</v>
      </c>
      <c r="G23" s="203"/>
      <c r="H23" s="203">
        <v>19283.3</v>
      </c>
      <c r="I23" s="253"/>
      <c r="J23" s="203"/>
      <c r="K23" s="253"/>
    </row>
    <row r="24" spans="1:11" ht="12.75">
      <c r="A24" s="481" t="s">
        <v>348</v>
      </c>
      <c r="B24" s="191" t="s">
        <v>121</v>
      </c>
      <c r="C24" s="206">
        <v>1.677</v>
      </c>
      <c r="D24" s="206">
        <v>19894.2</v>
      </c>
      <c r="E24" s="206">
        <v>0</v>
      </c>
      <c r="F24" s="415">
        <v>4</v>
      </c>
      <c r="G24" s="206">
        <v>28000</v>
      </c>
      <c r="H24" s="206"/>
      <c r="I24" s="235">
        <v>2.7</v>
      </c>
      <c r="J24" s="235">
        <f>40000-10000</f>
        <v>30000</v>
      </c>
      <c r="K24" s="253"/>
    </row>
    <row r="25" spans="1:11" ht="14.25" hidden="1">
      <c r="A25" s="466" t="s">
        <v>207</v>
      </c>
      <c r="B25" s="706"/>
      <c r="C25" s="126"/>
      <c r="D25" s="222"/>
      <c r="E25" s="222"/>
      <c r="F25" s="409">
        <f>F26</f>
        <v>4.95</v>
      </c>
      <c r="G25" s="222">
        <f>G26</f>
        <v>42000</v>
      </c>
      <c r="H25" s="222"/>
      <c r="I25" s="222">
        <f>I26</f>
        <v>1.2</v>
      </c>
      <c r="J25" s="222">
        <f>J26</f>
        <v>10000</v>
      </c>
      <c r="K25" s="222"/>
    </row>
    <row r="26" spans="1:11" ht="12.75" hidden="1">
      <c r="A26" s="467" t="s">
        <v>201</v>
      </c>
      <c r="B26" s="191" t="s">
        <v>121</v>
      </c>
      <c r="C26" s="126"/>
      <c r="D26" s="126"/>
      <c r="E26" s="126"/>
      <c r="F26" s="415">
        <v>4.95</v>
      </c>
      <c r="G26" s="206">
        <f>49000-28000+31829.9-10829.9</f>
        <v>42000</v>
      </c>
      <c r="H26" s="126"/>
      <c r="I26" s="126">
        <v>1.2</v>
      </c>
      <c r="J26" s="126">
        <v>10000</v>
      </c>
      <c r="K26" s="126"/>
    </row>
    <row r="27" spans="1:11" ht="15" customHeight="1">
      <c r="A27" s="466" t="s">
        <v>120</v>
      </c>
      <c r="B27" s="88"/>
      <c r="C27" s="222">
        <v>0</v>
      </c>
      <c r="D27" s="222">
        <v>0</v>
      </c>
      <c r="E27" s="222">
        <v>13914.5</v>
      </c>
      <c r="F27" s="409">
        <f aca="true" t="shared" si="4" ref="F27:K27">SUM(F28:F33)</f>
        <v>5.2</v>
      </c>
      <c r="G27" s="222">
        <f t="shared" si="4"/>
        <v>15000</v>
      </c>
      <c r="H27" s="222">
        <f t="shared" si="4"/>
        <v>28677.3</v>
      </c>
      <c r="I27" s="222">
        <f t="shared" si="4"/>
        <v>5.5</v>
      </c>
      <c r="J27" s="222">
        <f t="shared" si="4"/>
        <v>2500</v>
      </c>
      <c r="K27" s="222">
        <f t="shared" si="4"/>
        <v>43829.4</v>
      </c>
    </row>
    <row r="28" spans="1:11" ht="12.75" hidden="1">
      <c r="A28" s="480" t="s">
        <v>308</v>
      </c>
      <c r="B28" s="134" t="s">
        <v>121</v>
      </c>
      <c r="C28" s="223"/>
      <c r="D28" s="223"/>
      <c r="E28" s="223"/>
      <c r="F28" s="416">
        <v>2.1</v>
      </c>
      <c r="G28" s="224">
        <f>30000-15000</f>
        <v>15000</v>
      </c>
      <c r="H28" s="223"/>
      <c r="I28" s="224"/>
      <c r="J28" s="224"/>
      <c r="K28" s="223"/>
    </row>
    <row r="29" spans="1:11" ht="24">
      <c r="A29" s="481" t="s">
        <v>349</v>
      </c>
      <c r="B29" s="178"/>
      <c r="C29" s="204">
        <v>0</v>
      </c>
      <c r="D29" s="204">
        <v>0</v>
      </c>
      <c r="E29" s="204">
        <v>13914.5</v>
      </c>
      <c r="F29" s="417"/>
      <c r="G29" s="204"/>
      <c r="H29" s="204"/>
      <c r="I29" s="204"/>
      <c r="J29" s="204"/>
      <c r="K29" s="204"/>
    </row>
    <row r="30" spans="1:11" ht="12.75" hidden="1">
      <c r="A30" s="474" t="s">
        <v>350</v>
      </c>
      <c r="B30" s="178" t="s">
        <v>115</v>
      </c>
      <c r="C30" s="204"/>
      <c r="D30" s="204"/>
      <c r="E30" s="204"/>
      <c r="F30" s="417"/>
      <c r="G30" s="204"/>
      <c r="H30" s="204"/>
      <c r="I30" s="235">
        <v>1</v>
      </c>
      <c r="J30" s="235"/>
      <c r="K30" s="3">
        <v>10000</v>
      </c>
    </row>
    <row r="31" spans="1:11" ht="12.75" hidden="1">
      <c r="A31" s="806" t="s">
        <v>414</v>
      </c>
      <c r="B31" s="629"/>
      <c r="C31" s="267"/>
      <c r="D31" s="267"/>
      <c r="E31" s="267"/>
      <c r="F31" s="418"/>
      <c r="G31" s="267"/>
      <c r="H31" s="267"/>
      <c r="I31" s="303"/>
      <c r="J31" s="303">
        <v>2500</v>
      </c>
      <c r="K31" s="304">
        <v>2500</v>
      </c>
    </row>
    <row r="32" spans="1:11" ht="12.75" hidden="1">
      <c r="A32" s="806" t="s">
        <v>403</v>
      </c>
      <c r="B32" s="178" t="s">
        <v>115</v>
      </c>
      <c r="C32" s="267"/>
      <c r="D32" s="267"/>
      <c r="E32" s="267"/>
      <c r="F32" s="418"/>
      <c r="G32" s="267"/>
      <c r="H32" s="267"/>
      <c r="I32" s="303">
        <f>3+1.5</f>
        <v>4.5</v>
      </c>
      <c r="J32" s="303"/>
      <c r="K32" s="304">
        <f>20000+11329.4</f>
        <v>31329.4</v>
      </c>
    </row>
    <row r="33" spans="1:11" ht="12.75" hidden="1">
      <c r="A33" s="483" t="s">
        <v>309</v>
      </c>
      <c r="B33" s="191" t="s">
        <v>115</v>
      </c>
      <c r="C33" s="209"/>
      <c r="D33" s="209"/>
      <c r="E33" s="209"/>
      <c r="F33" s="419">
        <v>3.1</v>
      </c>
      <c r="G33" s="209"/>
      <c r="H33" s="209">
        <v>28677.3</v>
      </c>
      <c r="I33" s="209"/>
      <c r="J33" s="209"/>
      <c r="K33" s="209"/>
    </row>
    <row r="34" spans="1:11" ht="14.25">
      <c r="A34" s="807" t="s">
        <v>216</v>
      </c>
      <c r="B34" s="89"/>
      <c r="C34" s="229">
        <v>9</v>
      </c>
      <c r="D34" s="229">
        <v>13000</v>
      </c>
      <c r="E34" s="229">
        <v>0</v>
      </c>
      <c r="F34" s="420">
        <f>SUM(F35:F37)</f>
        <v>21</v>
      </c>
      <c r="G34" s="229">
        <f>SUM(G35:G37)</f>
        <v>39000</v>
      </c>
      <c r="H34" s="229">
        <f>SUM(H35:H37)</f>
        <v>6474.7</v>
      </c>
      <c r="I34" s="229"/>
      <c r="J34" s="229">
        <f>SUM(J35:J37)</f>
        <v>0</v>
      </c>
      <c r="K34" s="229">
        <f>SUM(K35:K37)</f>
        <v>0</v>
      </c>
    </row>
    <row r="35" spans="1:11" ht="25.5" hidden="1">
      <c r="A35" s="808" t="s">
        <v>310</v>
      </c>
      <c r="B35" s="709" t="s">
        <v>121</v>
      </c>
      <c r="C35" s="225"/>
      <c r="D35" s="225"/>
      <c r="E35" s="225"/>
      <c r="F35" s="416">
        <v>15</v>
      </c>
      <c r="G35" s="224">
        <v>18000</v>
      </c>
      <c r="H35" s="225"/>
      <c r="I35" s="134"/>
      <c r="J35" s="224"/>
      <c r="K35" s="225"/>
    </row>
    <row r="36" spans="1:11" ht="12.75">
      <c r="A36" s="809" t="s">
        <v>311</v>
      </c>
      <c r="B36" s="709" t="s">
        <v>121</v>
      </c>
      <c r="C36" s="204">
        <v>9</v>
      </c>
      <c r="D36" s="204">
        <v>13000</v>
      </c>
      <c r="E36" s="204">
        <v>0</v>
      </c>
      <c r="F36" s="417">
        <v>5</v>
      </c>
      <c r="G36" s="204">
        <v>21000</v>
      </c>
      <c r="H36" s="204"/>
      <c r="I36" s="204"/>
      <c r="J36" s="204"/>
      <c r="K36" s="204"/>
    </row>
    <row r="37" spans="1:11" ht="12.75" hidden="1">
      <c r="A37" s="810" t="s">
        <v>312</v>
      </c>
      <c r="B37" s="712" t="s">
        <v>121</v>
      </c>
      <c r="C37" s="209"/>
      <c r="D37" s="209"/>
      <c r="E37" s="209"/>
      <c r="F37" s="419">
        <v>1</v>
      </c>
      <c r="G37" s="209"/>
      <c r="H37" s="209">
        <v>6474.7</v>
      </c>
      <c r="I37" s="209"/>
      <c r="J37" s="209"/>
      <c r="K37" s="209"/>
    </row>
    <row r="38" spans="1:11" ht="14.25">
      <c r="A38" s="807" t="s">
        <v>223</v>
      </c>
      <c r="B38" s="713"/>
      <c r="C38" s="229">
        <v>2.7</v>
      </c>
      <c r="D38" s="229">
        <v>53419.6</v>
      </c>
      <c r="E38" s="229">
        <v>0</v>
      </c>
      <c r="F38" s="420">
        <f>SUM(F39:F39)</f>
        <v>1.5</v>
      </c>
      <c r="G38" s="229">
        <f>SUM(G39:G39)</f>
        <v>28000</v>
      </c>
      <c r="H38" s="229">
        <f>SUM(H39:H39)</f>
        <v>0</v>
      </c>
      <c r="I38" s="229">
        <f>I40</f>
        <v>0.6</v>
      </c>
      <c r="J38" s="229">
        <f>SUM(J39:J40)</f>
        <v>0</v>
      </c>
      <c r="K38" s="229">
        <f>SUM(K39:K40)</f>
        <v>10000</v>
      </c>
    </row>
    <row r="39" spans="1:11" ht="12.75">
      <c r="A39" s="473" t="s">
        <v>313</v>
      </c>
      <c r="B39" s="134" t="s">
        <v>121</v>
      </c>
      <c r="C39" s="224">
        <v>2.7</v>
      </c>
      <c r="D39" s="224">
        <v>53419.6</v>
      </c>
      <c r="E39" s="224">
        <v>0</v>
      </c>
      <c r="F39" s="416">
        <v>1.5</v>
      </c>
      <c r="G39" s="224">
        <v>28000</v>
      </c>
      <c r="H39" s="224"/>
      <c r="I39" s="224"/>
      <c r="J39" s="224"/>
      <c r="K39" s="224"/>
    </row>
    <row r="40" spans="1:11" ht="12.75" hidden="1">
      <c r="A40" s="475" t="s">
        <v>483</v>
      </c>
      <c r="B40" s="191" t="s">
        <v>121</v>
      </c>
      <c r="C40" s="209"/>
      <c r="D40" s="209"/>
      <c r="E40" s="209"/>
      <c r="F40" s="419"/>
      <c r="G40" s="209"/>
      <c r="H40" s="209"/>
      <c r="I40" s="291">
        <v>0.6</v>
      </c>
      <c r="J40" s="291"/>
      <c r="K40" s="291">
        <v>10000</v>
      </c>
    </row>
    <row r="41" spans="1:11" ht="14.25">
      <c r="A41" s="466" t="s">
        <v>404</v>
      </c>
      <c r="B41" s="705"/>
      <c r="C41" s="229">
        <v>8</v>
      </c>
      <c r="D41" s="229">
        <v>8000</v>
      </c>
      <c r="E41" s="229">
        <v>0</v>
      </c>
      <c r="F41" s="421">
        <f aca="true" t="shared" si="5" ref="F41:K41">F42</f>
        <v>3.5</v>
      </c>
      <c r="G41" s="231">
        <f t="shared" si="5"/>
        <v>28000</v>
      </c>
      <c r="H41" s="230">
        <f t="shared" si="5"/>
        <v>0</v>
      </c>
      <c r="I41" s="231">
        <f t="shared" si="5"/>
        <v>3</v>
      </c>
      <c r="J41" s="231">
        <f t="shared" si="5"/>
        <v>23411.2</v>
      </c>
      <c r="K41" s="231">
        <f t="shared" si="5"/>
        <v>0</v>
      </c>
    </row>
    <row r="42" spans="1:11" ht="33" customHeight="1">
      <c r="A42" s="470" t="s">
        <v>151</v>
      </c>
      <c r="B42" s="134" t="s">
        <v>121</v>
      </c>
      <c r="C42" s="230">
        <v>8</v>
      </c>
      <c r="D42" s="230">
        <v>8000</v>
      </c>
      <c r="E42" s="230">
        <v>0</v>
      </c>
      <c r="F42" s="422">
        <v>3.5</v>
      </c>
      <c r="G42" s="230">
        <v>28000</v>
      </c>
      <c r="H42" s="230"/>
      <c r="I42" s="230">
        <v>3</v>
      </c>
      <c r="J42" s="230">
        <v>23411.2</v>
      </c>
      <c r="K42" s="230"/>
    </row>
    <row r="43" spans="1:11" ht="14.25">
      <c r="A43" s="466" t="s">
        <v>230</v>
      </c>
      <c r="B43" s="88"/>
      <c r="C43" s="222">
        <v>2.3</v>
      </c>
      <c r="D43" s="222">
        <v>0</v>
      </c>
      <c r="E43" s="222">
        <v>15821.2</v>
      </c>
      <c r="F43" s="409">
        <f aca="true" t="shared" si="6" ref="F43:K43">SUM(F44:F44)</f>
        <v>3</v>
      </c>
      <c r="G43" s="222">
        <f t="shared" si="6"/>
        <v>0</v>
      </c>
      <c r="H43" s="222">
        <f t="shared" si="6"/>
        <v>20000</v>
      </c>
      <c r="I43" s="222">
        <f t="shared" si="6"/>
        <v>2.8</v>
      </c>
      <c r="J43" s="222">
        <f t="shared" si="6"/>
        <v>0</v>
      </c>
      <c r="K43" s="222">
        <f t="shared" si="6"/>
        <v>22605.2</v>
      </c>
    </row>
    <row r="44" spans="1:11" ht="12.75">
      <c r="A44" s="811" t="s">
        <v>314</v>
      </c>
      <c r="B44" s="97" t="s">
        <v>115</v>
      </c>
      <c r="C44" s="203">
        <v>2.3</v>
      </c>
      <c r="D44" s="203">
        <v>0</v>
      </c>
      <c r="E44" s="203">
        <v>15821.2</v>
      </c>
      <c r="F44" s="411">
        <v>3</v>
      </c>
      <c r="G44" s="203"/>
      <c r="H44" s="203">
        <f>18100+1900</f>
        <v>20000</v>
      </c>
      <c r="I44" s="203">
        <v>2.8</v>
      </c>
      <c r="J44" s="203"/>
      <c r="K44" s="203">
        <f>20208+2397.2</f>
        <v>22605.2</v>
      </c>
    </row>
    <row r="45" spans="1:11" ht="14.25">
      <c r="A45" s="466" t="s">
        <v>231</v>
      </c>
      <c r="B45" s="88"/>
      <c r="C45" s="222">
        <v>5.14</v>
      </c>
      <c r="D45" s="222">
        <v>12820.7</v>
      </c>
      <c r="E45" s="222">
        <v>7757</v>
      </c>
      <c r="F45" s="409">
        <f aca="true" t="shared" si="7" ref="F45:K45">SUM(F46:F50)</f>
        <v>9.7</v>
      </c>
      <c r="G45" s="222">
        <f t="shared" si="7"/>
        <v>56000</v>
      </c>
      <c r="H45" s="222">
        <f t="shared" si="7"/>
        <v>12216.1</v>
      </c>
      <c r="I45" s="222">
        <f t="shared" si="7"/>
        <v>5.4</v>
      </c>
      <c r="J45" s="222">
        <f t="shared" si="7"/>
        <v>39748.399999999994</v>
      </c>
      <c r="K45" s="222">
        <f t="shared" si="7"/>
        <v>11216</v>
      </c>
    </row>
    <row r="46" spans="1:11" ht="12.75" hidden="1">
      <c r="A46" s="812" t="s">
        <v>315</v>
      </c>
      <c r="B46" s="95" t="s">
        <v>121</v>
      </c>
      <c r="C46" s="223"/>
      <c r="D46" s="223"/>
      <c r="E46" s="223"/>
      <c r="F46" s="416">
        <v>1.7</v>
      </c>
      <c r="G46" s="223"/>
      <c r="H46" s="224">
        <v>12216.1</v>
      </c>
      <c r="I46" s="292">
        <v>1.4</v>
      </c>
      <c r="J46" s="293"/>
      <c r="K46" s="292">
        <v>11216</v>
      </c>
    </row>
    <row r="47" spans="1:11" ht="12.75" hidden="1">
      <c r="A47" s="813" t="s">
        <v>409</v>
      </c>
      <c r="B47" s="97" t="s">
        <v>121</v>
      </c>
      <c r="C47" s="205"/>
      <c r="D47" s="205"/>
      <c r="E47" s="205"/>
      <c r="F47" s="417">
        <v>4</v>
      </c>
      <c r="G47" s="204">
        <v>28000</v>
      </c>
      <c r="H47" s="205"/>
      <c r="I47" s="204"/>
      <c r="J47" s="204"/>
      <c r="K47" s="205"/>
    </row>
    <row r="48" spans="1:11" ht="12.75">
      <c r="A48" s="486" t="s">
        <v>316</v>
      </c>
      <c r="B48" s="97" t="s">
        <v>121</v>
      </c>
      <c r="C48" s="235">
        <v>1.34</v>
      </c>
      <c r="D48" s="235">
        <v>9820.7</v>
      </c>
      <c r="E48" s="235">
        <v>0</v>
      </c>
      <c r="F48" s="423">
        <v>4</v>
      </c>
      <c r="G48" s="235">
        <v>28000</v>
      </c>
      <c r="H48" s="235"/>
      <c r="I48" s="203">
        <v>4</v>
      </c>
      <c r="J48" s="269">
        <f>89748.4-50000</f>
        <v>39748.399999999994</v>
      </c>
      <c r="K48" s="203"/>
    </row>
    <row r="49" spans="1:11" ht="24">
      <c r="A49" s="481" t="s">
        <v>150</v>
      </c>
      <c r="B49" s="129"/>
      <c r="C49" s="303">
        <v>3</v>
      </c>
      <c r="D49" s="303">
        <v>3000</v>
      </c>
      <c r="E49" s="303">
        <v>0</v>
      </c>
      <c r="F49" s="835"/>
      <c r="G49" s="303"/>
      <c r="H49" s="303"/>
      <c r="I49" s="836"/>
      <c r="J49" s="837"/>
      <c r="K49" s="836"/>
    </row>
    <row r="50" spans="1:11" ht="12.75">
      <c r="A50" s="814" t="s">
        <v>317</v>
      </c>
      <c r="B50" s="98" t="s">
        <v>121</v>
      </c>
      <c r="C50" s="206">
        <v>0.8</v>
      </c>
      <c r="D50" s="206">
        <v>0</v>
      </c>
      <c r="E50" s="206">
        <v>7757</v>
      </c>
      <c r="F50" s="415"/>
      <c r="G50" s="206"/>
      <c r="H50" s="206"/>
      <c r="I50" s="206"/>
      <c r="J50" s="227"/>
      <c r="K50" s="206"/>
    </row>
    <row r="51" spans="1:11" ht="14.25">
      <c r="A51" s="807" t="s">
        <v>122</v>
      </c>
      <c r="B51" s="91"/>
      <c r="C51" s="229">
        <v>2.765</v>
      </c>
      <c r="D51" s="229">
        <v>12579.4</v>
      </c>
      <c r="E51" s="229">
        <v>6436.402000000001</v>
      </c>
      <c r="F51" s="420">
        <f aca="true" t="shared" si="8" ref="F51:K51">SUM(F52:F55)</f>
        <v>6.3</v>
      </c>
      <c r="G51" s="229">
        <f t="shared" si="8"/>
        <v>48409.9</v>
      </c>
      <c r="H51" s="229">
        <f t="shared" si="8"/>
        <v>0</v>
      </c>
      <c r="I51" s="229">
        <f t="shared" si="8"/>
        <v>4.2</v>
      </c>
      <c r="J51" s="229">
        <f t="shared" si="8"/>
        <v>32500</v>
      </c>
      <c r="K51" s="229">
        <f t="shared" si="8"/>
        <v>14000</v>
      </c>
    </row>
    <row r="52" spans="1:11" ht="12.75">
      <c r="A52" s="815" t="s">
        <v>318</v>
      </c>
      <c r="B52" s="720" t="s">
        <v>121</v>
      </c>
      <c r="C52" s="816">
        <v>0.565</v>
      </c>
      <c r="D52" s="224">
        <v>0</v>
      </c>
      <c r="E52" s="224">
        <v>6436.402000000001</v>
      </c>
      <c r="F52" s="416"/>
      <c r="G52" s="224"/>
      <c r="H52" s="224"/>
      <c r="I52" s="224">
        <v>1.2</v>
      </c>
      <c r="J52" s="224"/>
      <c r="K52" s="224">
        <v>14000</v>
      </c>
    </row>
    <row r="53" spans="1:11" ht="24" hidden="1">
      <c r="A53" s="809" t="s">
        <v>320</v>
      </c>
      <c r="B53" s="709" t="s">
        <v>115</v>
      </c>
      <c r="C53" s="204">
        <v>0</v>
      </c>
      <c r="D53" s="204">
        <v>0</v>
      </c>
      <c r="E53" s="204">
        <v>0</v>
      </c>
      <c r="F53" s="417">
        <v>3</v>
      </c>
      <c r="G53" s="204">
        <f>40000-20000</f>
        <v>20000</v>
      </c>
      <c r="H53" s="204"/>
      <c r="I53" s="204"/>
      <c r="J53" s="204"/>
      <c r="K53" s="204"/>
    </row>
    <row r="54" spans="1:11" ht="12.75">
      <c r="A54" s="809" t="s">
        <v>235</v>
      </c>
      <c r="B54" s="709" t="s">
        <v>121</v>
      </c>
      <c r="C54" s="204">
        <v>2.2</v>
      </c>
      <c r="D54" s="204">
        <v>12579.4</v>
      </c>
      <c r="E54" s="204">
        <v>0</v>
      </c>
      <c r="F54" s="417">
        <v>1</v>
      </c>
      <c r="G54" s="204">
        <f>45000-18000-20000</f>
        <v>7000</v>
      </c>
      <c r="H54" s="204"/>
      <c r="I54" s="204"/>
      <c r="J54" s="204"/>
      <c r="K54" s="204"/>
    </row>
    <row r="55" spans="1:11" ht="12.75" hidden="1">
      <c r="A55" s="809" t="s">
        <v>311</v>
      </c>
      <c r="B55" s="709" t="s">
        <v>121</v>
      </c>
      <c r="C55" s="206"/>
      <c r="D55" s="206"/>
      <c r="E55" s="206"/>
      <c r="F55" s="415">
        <v>2.3</v>
      </c>
      <c r="G55" s="206">
        <v>21409.9</v>
      </c>
      <c r="H55" s="206"/>
      <c r="I55" s="206">
        <v>3</v>
      </c>
      <c r="J55" s="206">
        <f>52500-20000</f>
        <v>32500</v>
      </c>
      <c r="K55" s="206"/>
    </row>
    <row r="56" spans="1:11" ht="14.25">
      <c r="A56" s="807" t="s">
        <v>236</v>
      </c>
      <c r="B56" s="89"/>
      <c r="C56" s="229">
        <v>7.5</v>
      </c>
      <c r="D56" s="229">
        <v>7500</v>
      </c>
      <c r="E56" s="229">
        <v>0</v>
      </c>
      <c r="F56" s="420">
        <f aca="true" t="shared" si="9" ref="F56:K56">SUM(F57:F58)</f>
        <v>4.1</v>
      </c>
      <c r="G56" s="229">
        <f t="shared" si="9"/>
        <v>28000</v>
      </c>
      <c r="H56" s="229">
        <f t="shared" si="9"/>
        <v>0</v>
      </c>
      <c r="I56" s="229">
        <f t="shared" si="9"/>
        <v>4</v>
      </c>
      <c r="J56" s="229">
        <f t="shared" si="9"/>
        <v>36000</v>
      </c>
      <c r="K56" s="229">
        <f t="shared" si="9"/>
        <v>0</v>
      </c>
    </row>
    <row r="57" spans="1:11" ht="24" customHeight="1">
      <c r="A57" s="469" t="s">
        <v>152</v>
      </c>
      <c r="B57" s="721" t="s">
        <v>121</v>
      </c>
      <c r="C57" s="232">
        <v>7.5</v>
      </c>
      <c r="D57" s="232">
        <v>7500</v>
      </c>
      <c r="E57" s="232">
        <v>0</v>
      </c>
      <c r="F57" s="417">
        <v>4.1</v>
      </c>
      <c r="G57" s="204">
        <v>28000</v>
      </c>
      <c r="H57" s="232"/>
      <c r="I57" s="204">
        <v>4</v>
      </c>
      <c r="J57" s="204">
        <f>12000+20000</f>
        <v>32000</v>
      </c>
      <c r="K57" s="232"/>
    </row>
    <row r="58" spans="1:11" ht="12.75" hidden="1">
      <c r="A58" s="479" t="s">
        <v>319</v>
      </c>
      <c r="B58" s="722"/>
      <c r="C58" s="266"/>
      <c r="D58" s="266"/>
      <c r="E58" s="266"/>
      <c r="F58" s="418"/>
      <c r="G58" s="267"/>
      <c r="H58" s="266"/>
      <c r="I58" s="267"/>
      <c r="J58" s="267">
        <v>4000</v>
      </c>
      <c r="K58" s="266"/>
    </row>
    <row r="59" spans="1:11" ht="14.25">
      <c r="A59" s="807" t="s">
        <v>243</v>
      </c>
      <c r="B59" s="713"/>
      <c r="C59" s="222">
        <v>0.825</v>
      </c>
      <c r="D59" s="222">
        <v>7161.8</v>
      </c>
      <c r="E59" s="222">
        <v>0</v>
      </c>
      <c r="F59" s="409">
        <f>F60</f>
        <v>1.9</v>
      </c>
      <c r="G59" s="222">
        <f>G60</f>
        <v>22172.8</v>
      </c>
      <c r="H59" s="222">
        <f>H60</f>
        <v>0</v>
      </c>
      <c r="I59" s="222">
        <f>I60</f>
        <v>0</v>
      </c>
      <c r="J59" s="222">
        <f>SUM(J60)</f>
        <v>0</v>
      </c>
      <c r="K59" s="222">
        <f>SUM(K60)</f>
        <v>0</v>
      </c>
    </row>
    <row r="60" spans="1:11" ht="12.75">
      <c r="A60" s="817" t="s">
        <v>406</v>
      </c>
      <c r="B60" s="724" t="s">
        <v>121</v>
      </c>
      <c r="C60" s="206">
        <v>0.825</v>
      </c>
      <c r="D60" s="206">
        <v>7161.8</v>
      </c>
      <c r="E60" s="228">
        <v>0</v>
      </c>
      <c r="F60" s="414">
        <v>1.9</v>
      </c>
      <c r="G60" s="228">
        <v>22172.8</v>
      </c>
      <c r="H60" s="228"/>
      <c r="I60" s="228"/>
      <c r="J60" s="228"/>
      <c r="K60" s="228"/>
    </row>
    <row r="61" spans="1:11" ht="14.25" hidden="1">
      <c r="A61" s="466" t="s">
        <v>251</v>
      </c>
      <c r="B61" s="725"/>
      <c r="C61" s="126"/>
      <c r="D61" s="126"/>
      <c r="E61" s="126"/>
      <c r="F61" s="424">
        <f>+F62</f>
        <v>1.2</v>
      </c>
      <c r="G61" s="127">
        <f>+G62</f>
        <v>17000</v>
      </c>
      <c r="H61" s="127">
        <f>+H62</f>
        <v>0</v>
      </c>
      <c r="I61" s="127">
        <f>SUM(I62:I63)</f>
        <v>3.3</v>
      </c>
      <c r="J61" s="127">
        <f>SUM(J62:J63)</f>
        <v>30000</v>
      </c>
      <c r="K61" s="127">
        <f>SUM(K62:K63)</f>
        <v>15199.5</v>
      </c>
    </row>
    <row r="62" spans="1:11" ht="12.75" hidden="1">
      <c r="A62" s="469" t="s">
        <v>321</v>
      </c>
      <c r="B62" s="720" t="s">
        <v>121</v>
      </c>
      <c r="C62" s="1"/>
      <c r="D62" s="1"/>
      <c r="E62" s="1"/>
      <c r="F62" s="425">
        <v>1.2</v>
      </c>
      <c r="G62" s="1">
        <v>17000</v>
      </c>
      <c r="H62" s="1"/>
      <c r="I62" s="1">
        <v>1.8</v>
      </c>
      <c r="J62" s="239">
        <f>40000-10000</f>
        <v>30000</v>
      </c>
      <c r="K62" s="294"/>
    </row>
    <row r="63" spans="1:11" ht="12.75" hidden="1">
      <c r="A63" s="470" t="s">
        <v>254</v>
      </c>
      <c r="B63" s="712" t="s">
        <v>121</v>
      </c>
      <c r="C63" s="128"/>
      <c r="D63" s="128"/>
      <c r="E63" s="128"/>
      <c r="F63" s="426"/>
      <c r="G63" s="128"/>
      <c r="H63" s="128"/>
      <c r="I63" s="128">
        <v>1.5</v>
      </c>
      <c r="J63" s="262"/>
      <c r="K63" s="237">
        <v>15199.5</v>
      </c>
    </row>
    <row r="64" spans="1:11" ht="14.25" hidden="1">
      <c r="A64" s="466" t="s">
        <v>255</v>
      </c>
      <c r="B64" s="726"/>
      <c r="C64" s="233"/>
      <c r="D64" s="233"/>
      <c r="E64" s="233"/>
      <c r="F64" s="427">
        <f>F65</f>
        <v>1.2</v>
      </c>
      <c r="G64" s="234">
        <f>G65</f>
        <v>0</v>
      </c>
      <c r="H64" s="234">
        <f>H65</f>
        <v>8499.9</v>
      </c>
      <c r="I64" s="234">
        <f>I65</f>
        <v>0</v>
      </c>
      <c r="J64" s="234">
        <f>SUM(J65:J65)</f>
        <v>0</v>
      </c>
      <c r="K64" s="234">
        <f>SUM(K65:K65)</f>
        <v>0</v>
      </c>
    </row>
    <row r="65" spans="1:11" ht="12.75" hidden="1">
      <c r="A65" s="470" t="s">
        <v>322</v>
      </c>
      <c r="B65" s="727" t="s">
        <v>121</v>
      </c>
      <c r="C65" s="1"/>
      <c r="D65" s="1"/>
      <c r="E65" s="1"/>
      <c r="F65" s="425">
        <v>1.2</v>
      </c>
      <c r="G65" s="1"/>
      <c r="H65" s="1">
        <v>8499.9</v>
      </c>
      <c r="I65" s="1"/>
      <c r="J65" s="1"/>
      <c r="K65" s="1"/>
    </row>
    <row r="66" spans="1:11" ht="14.25">
      <c r="A66" s="466" t="s">
        <v>123</v>
      </c>
      <c r="B66" s="88"/>
      <c r="C66" s="222">
        <v>36.505</v>
      </c>
      <c r="D66" s="222">
        <v>122484.2</v>
      </c>
      <c r="E66" s="222">
        <v>42705.5</v>
      </c>
      <c r="F66" s="409">
        <f>SUM(F67:F75)</f>
        <v>12.020000000000001</v>
      </c>
      <c r="G66" s="222">
        <f>SUM(G67:G75)</f>
        <v>64500</v>
      </c>
      <c r="H66" s="222">
        <f>SUM(H67:H75)</f>
        <v>19772.3</v>
      </c>
      <c r="I66" s="222">
        <f>SUM(I67:I75)</f>
        <v>12</v>
      </c>
      <c r="J66" s="222">
        <f>SUM(J67:J75)</f>
        <v>82594.6</v>
      </c>
      <c r="K66" s="222">
        <f>SUM(K67:K76)</f>
        <v>168153.5</v>
      </c>
    </row>
    <row r="67" spans="1:11" ht="24">
      <c r="A67" s="480" t="s">
        <v>257</v>
      </c>
      <c r="B67" s="721" t="s">
        <v>121</v>
      </c>
      <c r="C67" s="204">
        <v>3</v>
      </c>
      <c r="D67" s="204">
        <v>23946.5</v>
      </c>
      <c r="E67" s="223">
        <v>0</v>
      </c>
      <c r="F67" s="416">
        <v>3.5</v>
      </c>
      <c r="G67" s="224">
        <f>49000-24500</f>
        <v>24500</v>
      </c>
      <c r="H67" s="223"/>
      <c r="I67" s="224">
        <v>3</v>
      </c>
      <c r="J67" s="224">
        <v>30000</v>
      </c>
      <c r="K67" s="223"/>
    </row>
    <row r="68" spans="1:11" ht="12.75">
      <c r="A68" s="481" t="s">
        <v>323</v>
      </c>
      <c r="B68" s="721" t="s">
        <v>121</v>
      </c>
      <c r="C68" s="204">
        <v>2.74</v>
      </c>
      <c r="D68" s="204">
        <v>33399.1</v>
      </c>
      <c r="E68" s="205">
        <v>0</v>
      </c>
      <c r="F68" s="417">
        <v>4</v>
      </c>
      <c r="G68" s="204">
        <v>28000</v>
      </c>
      <c r="H68" s="205"/>
      <c r="I68" s="204">
        <v>4</v>
      </c>
      <c r="J68" s="204">
        <v>32594.6</v>
      </c>
      <c r="K68" s="205"/>
    </row>
    <row r="69" spans="1:11" ht="25.5">
      <c r="A69" s="818" t="s">
        <v>38</v>
      </c>
      <c r="B69" s="721" t="s">
        <v>121</v>
      </c>
      <c r="C69" s="235">
        <v>1.2</v>
      </c>
      <c r="D69" s="235">
        <v>0</v>
      </c>
      <c r="E69" s="235">
        <v>12705.5</v>
      </c>
      <c r="F69" s="423">
        <v>2.8</v>
      </c>
      <c r="G69" s="235"/>
      <c r="H69" s="235">
        <v>19772.3</v>
      </c>
      <c r="I69" s="235"/>
      <c r="J69" s="235"/>
      <c r="K69" s="235"/>
    </row>
    <row r="70" spans="1:11" ht="24">
      <c r="A70" s="818" t="s">
        <v>229</v>
      </c>
      <c r="B70" s="721" t="s">
        <v>121</v>
      </c>
      <c r="C70" s="819">
        <v>1.82</v>
      </c>
      <c r="D70" s="235">
        <v>21842.6</v>
      </c>
      <c r="E70" s="235">
        <v>0</v>
      </c>
      <c r="F70" s="423">
        <v>1.72</v>
      </c>
      <c r="G70" s="235">
        <f>7000+5000</f>
        <v>12000</v>
      </c>
      <c r="H70" s="235"/>
      <c r="I70" s="235">
        <v>2</v>
      </c>
      <c r="J70" s="235">
        <v>20000</v>
      </c>
      <c r="K70" s="235"/>
    </row>
    <row r="71" spans="1:11" ht="12.75">
      <c r="A71" s="818" t="s">
        <v>282</v>
      </c>
      <c r="B71" s="721" t="s">
        <v>121</v>
      </c>
      <c r="C71" s="819">
        <v>2.245</v>
      </c>
      <c r="D71" s="235">
        <v>14996</v>
      </c>
      <c r="E71" s="235">
        <v>0</v>
      </c>
      <c r="F71" s="423"/>
      <c r="G71" s="235">
        <f>17365.4-13312-4053.4</f>
        <v>0</v>
      </c>
      <c r="H71" s="235"/>
      <c r="I71" s="235"/>
      <c r="J71" s="235">
        <f>17365.4-13312-4053.4</f>
        <v>0</v>
      </c>
      <c r="K71" s="235"/>
    </row>
    <row r="72" spans="1:11" ht="24">
      <c r="A72" s="841" t="s">
        <v>149</v>
      </c>
      <c r="B72" s="721" t="s">
        <v>121</v>
      </c>
      <c r="C72" s="819">
        <v>5</v>
      </c>
      <c r="D72" s="235">
        <v>7300</v>
      </c>
      <c r="E72" s="235">
        <v>0</v>
      </c>
      <c r="F72" s="423"/>
      <c r="G72" s="235"/>
      <c r="H72" s="235"/>
      <c r="I72" s="235"/>
      <c r="J72" s="235"/>
      <c r="K72" s="235"/>
    </row>
    <row r="73" spans="1:11" ht="24">
      <c r="A73" s="481" t="s">
        <v>150</v>
      </c>
      <c r="B73" s="721" t="s">
        <v>121</v>
      </c>
      <c r="C73" s="819">
        <v>14</v>
      </c>
      <c r="D73" s="235">
        <v>16000</v>
      </c>
      <c r="E73" s="235">
        <v>0</v>
      </c>
      <c r="F73" s="423"/>
      <c r="G73" s="235"/>
      <c r="H73" s="235"/>
      <c r="I73" s="235"/>
      <c r="J73" s="235"/>
      <c r="K73" s="235"/>
    </row>
    <row r="74" spans="1:11" ht="24">
      <c r="A74" s="818" t="s">
        <v>151</v>
      </c>
      <c r="B74" s="721" t="s">
        <v>121</v>
      </c>
      <c r="C74" s="819">
        <v>5</v>
      </c>
      <c r="D74" s="235">
        <v>5000</v>
      </c>
      <c r="E74" s="235">
        <v>0</v>
      </c>
      <c r="F74" s="423"/>
      <c r="G74" s="235"/>
      <c r="H74" s="235"/>
      <c r="I74" s="235"/>
      <c r="J74" s="235"/>
      <c r="K74" s="235"/>
    </row>
    <row r="75" spans="1:11" ht="24">
      <c r="A75" s="818" t="s">
        <v>324</v>
      </c>
      <c r="B75" s="721" t="s">
        <v>121</v>
      </c>
      <c r="C75" s="235">
        <v>0</v>
      </c>
      <c r="D75" s="235">
        <v>0</v>
      </c>
      <c r="E75" s="235">
        <v>0</v>
      </c>
      <c r="F75" s="423"/>
      <c r="G75" s="235"/>
      <c r="H75" s="235"/>
      <c r="I75" s="235">
        <v>3</v>
      </c>
      <c r="J75" s="235"/>
      <c r="K75" s="235">
        <v>18153.5</v>
      </c>
    </row>
    <row r="76" spans="1:11" ht="12.75">
      <c r="A76" s="820" t="s">
        <v>284</v>
      </c>
      <c r="B76" s="721" t="s">
        <v>121</v>
      </c>
      <c r="C76" s="238">
        <v>1.5</v>
      </c>
      <c r="D76" s="238">
        <v>0</v>
      </c>
      <c r="E76" s="238">
        <v>30000</v>
      </c>
      <c r="F76" s="428"/>
      <c r="G76" s="238"/>
      <c r="H76" s="238"/>
      <c r="I76" s="238"/>
      <c r="J76" s="238"/>
      <c r="K76" s="238">
        <v>150000</v>
      </c>
    </row>
    <row r="77" spans="1:11" ht="14.25">
      <c r="A77" s="466" t="s">
        <v>128</v>
      </c>
      <c r="B77" s="88"/>
      <c r="C77" s="222">
        <v>26.64</v>
      </c>
      <c r="D77" s="222">
        <v>63538.1</v>
      </c>
      <c r="E77" s="222">
        <v>15726</v>
      </c>
      <c r="F77" s="409">
        <f aca="true" t="shared" si="10" ref="F77:K77">SUM(F78:F80)</f>
        <v>3.2</v>
      </c>
      <c r="G77" s="222">
        <f t="shared" si="10"/>
        <v>28000</v>
      </c>
      <c r="H77" s="222">
        <f t="shared" si="10"/>
        <v>0</v>
      </c>
      <c r="I77" s="222">
        <f t="shared" si="10"/>
        <v>2.06</v>
      </c>
      <c r="J77" s="222">
        <f t="shared" si="10"/>
        <v>0</v>
      </c>
      <c r="K77" s="222">
        <f t="shared" si="10"/>
        <v>22699.4</v>
      </c>
    </row>
    <row r="78" spans="1:11" ht="12.75">
      <c r="A78" s="485" t="s">
        <v>326</v>
      </c>
      <c r="B78" s="633" t="s">
        <v>121</v>
      </c>
      <c r="C78" s="202">
        <v>5</v>
      </c>
      <c r="D78" s="202">
        <v>40000</v>
      </c>
      <c r="E78" s="202">
        <v>0</v>
      </c>
      <c r="F78" s="413">
        <v>3.2</v>
      </c>
      <c r="G78" s="202">
        <v>28000</v>
      </c>
      <c r="H78" s="202"/>
      <c r="I78" s="202"/>
      <c r="J78" s="202"/>
      <c r="K78" s="202"/>
    </row>
    <row r="79" spans="1:11" ht="24">
      <c r="A79" s="481" t="s">
        <v>150</v>
      </c>
      <c r="B79" s="721" t="s">
        <v>121</v>
      </c>
      <c r="C79" s="830">
        <v>20</v>
      </c>
      <c r="D79" s="830">
        <v>23538.1</v>
      </c>
      <c r="E79" s="830">
        <v>0</v>
      </c>
      <c r="F79" s="831"/>
      <c r="G79" s="830"/>
      <c r="H79" s="830"/>
      <c r="I79" s="830"/>
      <c r="J79" s="830"/>
      <c r="K79" s="830"/>
    </row>
    <row r="80" spans="1:11" ht="12.75">
      <c r="A80" s="486" t="s">
        <v>327</v>
      </c>
      <c r="B80" s="97" t="s">
        <v>115</v>
      </c>
      <c r="C80" s="819">
        <v>1.64</v>
      </c>
      <c r="D80" s="235">
        <v>0</v>
      </c>
      <c r="E80" s="235">
        <v>15726</v>
      </c>
      <c r="F80" s="423"/>
      <c r="G80" s="235"/>
      <c r="H80" s="235"/>
      <c r="I80" s="235">
        <v>2.06</v>
      </c>
      <c r="J80" s="235"/>
      <c r="K80" s="235">
        <v>22699.4</v>
      </c>
    </row>
    <row r="81" spans="1:11" ht="14.25" hidden="1">
      <c r="A81" s="466" t="s">
        <v>263</v>
      </c>
      <c r="B81" s="126"/>
      <c r="C81" s="222">
        <v>0</v>
      </c>
      <c r="D81" s="222">
        <v>0</v>
      </c>
      <c r="E81" s="222">
        <v>0</v>
      </c>
      <c r="F81" s="409">
        <f aca="true" t="shared" si="11" ref="F81:K81">SUM(F82:F83)</f>
        <v>5.4</v>
      </c>
      <c r="G81" s="222">
        <f t="shared" si="11"/>
        <v>28000</v>
      </c>
      <c r="H81" s="222">
        <f t="shared" si="11"/>
        <v>9796.8</v>
      </c>
      <c r="I81" s="222">
        <f t="shared" si="11"/>
        <v>7</v>
      </c>
      <c r="J81" s="222">
        <f t="shared" si="11"/>
        <v>30000</v>
      </c>
      <c r="K81" s="222">
        <f t="shared" si="11"/>
        <v>18602.5</v>
      </c>
    </row>
    <row r="82" spans="1:11" ht="12.75" hidden="1">
      <c r="A82" s="486" t="s">
        <v>266</v>
      </c>
      <c r="B82" s="97" t="s">
        <v>115</v>
      </c>
      <c r="C82" s="263"/>
      <c r="D82" s="263"/>
      <c r="E82" s="263"/>
      <c r="F82" s="429">
        <v>1.4</v>
      </c>
      <c r="G82" s="296"/>
      <c r="H82" s="235">
        <v>9796.8</v>
      </c>
      <c r="I82" s="263">
        <v>2</v>
      </c>
      <c r="J82" s="263"/>
      <c r="K82" s="263">
        <v>18602.5</v>
      </c>
    </row>
    <row r="83" spans="1:11" ht="12.75" hidden="1">
      <c r="A83" s="479" t="s">
        <v>328</v>
      </c>
      <c r="B83" s="98" t="s">
        <v>121</v>
      </c>
      <c r="C83" s="238"/>
      <c r="D83" s="238"/>
      <c r="E83" s="238"/>
      <c r="F83" s="428">
        <v>4</v>
      </c>
      <c r="G83" s="238">
        <v>28000</v>
      </c>
      <c r="H83" s="238"/>
      <c r="I83" s="238">
        <v>5</v>
      </c>
      <c r="J83" s="238">
        <v>30000</v>
      </c>
      <c r="K83" s="238"/>
    </row>
    <row r="84" spans="1:11" ht="14.25">
      <c r="A84" s="466" t="s">
        <v>329</v>
      </c>
      <c r="B84" s="88"/>
      <c r="C84" s="222">
        <v>9.205</v>
      </c>
      <c r="D84" s="222">
        <v>21974.5</v>
      </c>
      <c r="E84" s="222">
        <v>0</v>
      </c>
      <c r="F84" s="409">
        <f aca="true" t="shared" si="12" ref="F84:K84">SUM(F85:F90)</f>
        <v>0</v>
      </c>
      <c r="G84" s="222">
        <f t="shared" si="12"/>
        <v>0</v>
      </c>
      <c r="H84" s="222">
        <f t="shared" si="12"/>
        <v>5000</v>
      </c>
      <c r="I84" s="222">
        <f t="shared" si="12"/>
        <v>3.5</v>
      </c>
      <c r="J84" s="222">
        <f t="shared" si="12"/>
        <v>45000</v>
      </c>
      <c r="K84" s="222">
        <f t="shared" si="12"/>
        <v>0</v>
      </c>
    </row>
    <row r="85" spans="1:11" ht="12.75" hidden="1">
      <c r="A85" s="832" t="s">
        <v>319</v>
      </c>
      <c r="B85" s="97"/>
      <c r="C85" s="205"/>
      <c r="D85" s="205"/>
      <c r="E85" s="205"/>
      <c r="F85" s="410"/>
      <c r="G85" s="205"/>
      <c r="H85" s="204">
        <v>5000</v>
      </c>
      <c r="I85" s="205"/>
      <c r="J85" s="204">
        <v>3000</v>
      </c>
      <c r="K85" s="204"/>
    </row>
    <row r="86" spans="1:11" ht="19.5" customHeight="1">
      <c r="A86" s="467" t="s">
        <v>152</v>
      </c>
      <c r="B86" s="721" t="s">
        <v>121</v>
      </c>
      <c r="C86" s="833">
        <v>8</v>
      </c>
      <c r="D86" s="833">
        <v>8000</v>
      </c>
      <c r="E86" s="833">
        <v>0</v>
      </c>
      <c r="F86" s="834"/>
      <c r="G86" s="833"/>
      <c r="H86" s="267"/>
      <c r="I86" s="833"/>
      <c r="J86" s="267"/>
      <c r="K86" s="267"/>
    </row>
    <row r="87" spans="1:11" ht="12.75" hidden="1">
      <c r="A87" s="832"/>
      <c r="B87" s="129"/>
      <c r="C87" s="833"/>
      <c r="D87" s="833"/>
      <c r="E87" s="833"/>
      <c r="F87" s="834"/>
      <c r="G87" s="833"/>
      <c r="H87" s="267"/>
      <c r="I87" s="833"/>
      <c r="J87" s="267"/>
      <c r="K87" s="267"/>
    </row>
    <row r="88" spans="1:11" ht="12.75" hidden="1">
      <c r="A88" s="832"/>
      <c r="B88" s="129"/>
      <c r="C88" s="833"/>
      <c r="D88" s="833"/>
      <c r="E88" s="833"/>
      <c r="F88" s="834"/>
      <c r="G88" s="833"/>
      <c r="H88" s="267"/>
      <c r="I88" s="833"/>
      <c r="J88" s="267"/>
      <c r="K88" s="267"/>
    </row>
    <row r="89" spans="1:11" ht="12.75" hidden="1">
      <c r="A89" s="832"/>
      <c r="B89" s="129"/>
      <c r="C89" s="833"/>
      <c r="D89" s="833"/>
      <c r="E89" s="833"/>
      <c r="F89" s="834"/>
      <c r="G89" s="833"/>
      <c r="H89" s="267"/>
      <c r="I89" s="833"/>
      <c r="J89" s="267"/>
      <c r="K89" s="267"/>
    </row>
    <row r="90" spans="1:11" ht="12.75">
      <c r="A90" s="814" t="s">
        <v>478</v>
      </c>
      <c r="B90" s="98" t="s">
        <v>121</v>
      </c>
      <c r="C90" s="821">
        <v>1.205</v>
      </c>
      <c r="D90" s="238">
        <v>13974.5</v>
      </c>
      <c r="E90" s="98">
        <v>0</v>
      </c>
      <c r="F90" s="419"/>
      <c r="G90" s="209"/>
      <c r="H90" s="98"/>
      <c r="I90" s="209">
        <v>3.5</v>
      </c>
      <c r="J90" s="209">
        <f>12000+30000</f>
        <v>42000</v>
      </c>
      <c r="K90" s="98"/>
    </row>
    <row r="91" spans="1:11" ht="14.25" hidden="1">
      <c r="A91" s="807" t="s">
        <v>267</v>
      </c>
      <c r="B91" s="713"/>
      <c r="C91" s="222">
        <v>0</v>
      </c>
      <c r="D91" s="222">
        <v>0</v>
      </c>
      <c r="E91" s="222">
        <v>0</v>
      </c>
      <c r="F91" s="409">
        <f aca="true" t="shared" si="13" ref="F91:K91">SUM(F92:F92)</f>
        <v>3.9</v>
      </c>
      <c r="G91" s="222">
        <f t="shared" si="13"/>
        <v>28000</v>
      </c>
      <c r="H91" s="222">
        <f t="shared" si="13"/>
        <v>0</v>
      </c>
      <c r="I91" s="222">
        <f t="shared" si="13"/>
        <v>0</v>
      </c>
      <c r="J91" s="222">
        <f t="shared" si="13"/>
        <v>0</v>
      </c>
      <c r="K91" s="222">
        <f t="shared" si="13"/>
        <v>0</v>
      </c>
    </row>
    <row r="92" spans="1:11" ht="12.75" hidden="1">
      <c r="A92" s="496" t="s">
        <v>330</v>
      </c>
      <c r="B92" s="95" t="s">
        <v>115</v>
      </c>
      <c r="C92" s="202"/>
      <c r="D92" s="202"/>
      <c r="E92" s="202"/>
      <c r="F92" s="413">
        <v>3.9</v>
      </c>
      <c r="G92" s="202">
        <v>28000</v>
      </c>
      <c r="H92" s="202"/>
      <c r="I92" s="202"/>
      <c r="J92" s="202"/>
      <c r="K92" s="202"/>
    </row>
    <row r="93" spans="1:11" ht="14.25">
      <c r="A93" s="807" t="s">
        <v>270</v>
      </c>
      <c r="B93" s="89"/>
      <c r="C93" s="229">
        <v>27.089</v>
      </c>
      <c r="D93" s="229">
        <v>69915.9</v>
      </c>
      <c r="E93" s="229">
        <v>0</v>
      </c>
      <c r="F93" s="420">
        <f>SUM(F94:F100)</f>
        <v>13.1</v>
      </c>
      <c r="G93" s="229">
        <f>SUM(G94:G100)</f>
        <v>63195.3</v>
      </c>
      <c r="H93" s="229">
        <f>SUM(H94:H100)</f>
        <v>30495</v>
      </c>
      <c r="I93" s="229">
        <f>SUM(I94:I102)</f>
        <v>7.5</v>
      </c>
      <c r="J93" s="229">
        <f>SUM(J94:J102)</f>
        <v>30000</v>
      </c>
      <c r="K93" s="229">
        <f>SUM(K94:K102)</f>
        <v>21998.4</v>
      </c>
    </row>
    <row r="94" spans="1:11" ht="12.75" hidden="1">
      <c r="A94" s="822" t="s">
        <v>300</v>
      </c>
      <c r="B94" s="731" t="s">
        <v>121</v>
      </c>
      <c r="C94" s="293"/>
      <c r="D94" s="293"/>
      <c r="E94" s="293"/>
      <c r="F94" s="430">
        <v>4</v>
      </c>
      <c r="G94" s="292">
        <v>28000</v>
      </c>
      <c r="H94" s="293"/>
      <c r="I94" s="292"/>
      <c r="J94" s="292"/>
      <c r="K94" s="293"/>
    </row>
    <row r="95" spans="1:11" ht="12.75">
      <c r="A95" s="485" t="s">
        <v>139</v>
      </c>
      <c r="B95" s="732" t="s">
        <v>121</v>
      </c>
      <c r="C95" s="235">
        <v>3.6</v>
      </c>
      <c r="D95" s="235">
        <v>21611.4</v>
      </c>
      <c r="E95" s="235">
        <v>0</v>
      </c>
      <c r="F95" s="423">
        <v>4.1</v>
      </c>
      <c r="G95" s="235">
        <v>35195.3</v>
      </c>
      <c r="H95" s="235"/>
      <c r="I95" s="235">
        <v>4</v>
      </c>
      <c r="J95" s="235">
        <v>30000</v>
      </c>
      <c r="K95" s="235"/>
    </row>
    <row r="96" spans="1:11" ht="27" customHeight="1">
      <c r="A96" s="491" t="s">
        <v>140</v>
      </c>
      <c r="B96" s="732" t="s">
        <v>121</v>
      </c>
      <c r="C96" s="235">
        <v>0.089</v>
      </c>
      <c r="D96" s="235">
        <v>3899.4</v>
      </c>
      <c r="E96" s="235"/>
      <c r="F96" s="423"/>
      <c r="G96" s="235"/>
      <c r="H96" s="235"/>
      <c r="I96" s="235"/>
      <c r="J96" s="235"/>
      <c r="K96" s="235"/>
    </row>
    <row r="97" spans="1:11" ht="27" customHeight="1">
      <c r="A97" s="491" t="s">
        <v>141</v>
      </c>
      <c r="B97" s="732" t="s">
        <v>121</v>
      </c>
      <c r="C97" s="235">
        <v>1.4</v>
      </c>
      <c r="D97" s="235">
        <v>10055.1</v>
      </c>
      <c r="E97" s="235"/>
      <c r="F97" s="423"/>
      <c r="G97" s="235"/>
      <c r="H97" s="235"/>
      <c r="I97" s="235"/>
      <c r="J97" s="235"/>
      <c r="K97" s="235"/>
    </row>
    <row r="98" spans="1:11" ht="19.5" customHeight="1">
      <c r="A98" s="491" t="s">
        <v>189</v>
      </c>
      <c r="B98" s="732" t="s">
        <v>121</v>
      </c>
      <c r="C98" s="235">
        <v>2</v>
      </c>
      <c r="D98" s="235">
        <v>14350</v>
      </c>
      <c r="E98" s="235">
        <v>0</v>
      </c>
      <c r="F98" s="423"/>
      <c r="G98" s="235"/>
      <c r="H98" s="235"/>
      <c r="I98" s="235"/>
      <c r="J98" s="235"/>
      <c r="K98" s="235"/>
    </row>
    <row r="99" spans="1:11" ht="24">
      <c r="A99" s="841" t="s">
        <v>149</v>
      </c>
      <c r="B99" s="732" t="s">
        <v>121</v>
      </c>
      <c r="C99" s="235">
        <v>20</v>
      </c>
      <c r="D99" s="235">
        <v>20000</v>
      </c>
      <c r="E99" s="235">
        <v>0</v>
      </c>
      <c r="F99" s="423"/>
      <c r="G99" s="235"/>
      <c r="H99" s="235"/>
      <c r="I99" s="235"/>
      <c r="J99" s="235"/>
      <c r="K99" s="235"/>
    </row>
    <row r="100" spans="1:11" ht="12.75" hidden="1">
      <c r="A100" s="491" t="s">
        <v>332</v>
      </c>
      <c r="B100" s="281" t="s">
        <v>115</v>
      </c>
      <c r="C100" s="235"/>
      <c r="D100" s="235"/>
      <c r="E100" s="235"/>
      <c r="F100" s="423">
        <v>5</v>
      </c>
      <c r="G100" s="235"/>
      <c r="H100" s="235">
        <v>30495</v>
      </c>
      <c r="I100" s="235"/>
      <c r="J100" s="235"/>
      <c r="K100" s="235"/>
    </row>
    <row r="101" spans="1:11" ht="12.75" hidden="1">
      <c r="A101" s="491" t="s">
        <v>345</v>
      </c>
      <c r="B101" s="281" t="s">
        <v>115</v>
      </c>
      <c r="C101" s="235"/>
      <c r="D101" s="235"/>
      <c r="E101" s="235"/>
      <c r="F101" s="423"/>
      <c r="G101" s="235"/>
      <c r="H101" s="235"/>
      <c r="I101" s="235">
        <v>1.8</v>
      </c>
      <c r="J101" s="235"/>
      <c r="K101" s="235">
        <v>11298.4</v>
      </c>
    </row>
    <row r="102" spans="1:11" ht="12.75" hidden="1">
      <c r="A102" s="491" t="s">
        <v>346</v>
      </c>
      <c r="B102" s="732" t="s">
        <v>121</v>
      </c>
      <c r="C102" s="238"/>
      <c r="D102" s="238"/>
      <c r="E102" s="238"/>
      <c r="F102" s="428"/>
      <c r="G102" s="238"/>
      <c r="H102" s="238"/>
      <c r="I102" s="238">
        <v>1.7</v>
      </c>
      <c r="J102" s="238"/>
      <c r="K102" s="238">
        <v>10700</v>
      </c>
    </row>
    <row r="103" spans="1:11" ht="14.25" hidden="1">
      <c r="A103" s="466" t="s">
        <v>129</v>
      </c>
      <c r="B103" s="733"/>
      <c r="C103" s="229">
        <v>0</v>
      </c>
      <c r="D103" s="229">
        <v>0</v>
      </c>
      <c r="E103" s="229">
        <v>0</v>
      </c>
      <c r="F103" s="421">
        <f aca="true" t="shared" si="14" ref="F103:K103">SUM(F104:F104)</f>
        <v>4.1</v>
      </c>
      <c r="G103" s="231">
        <f t="shared" si="14"/>
        <v>28000</v>
      </c>
      <c r="H103" s="231">
        <f t="shared" si="14"/>
        <v>0</v>
      </c>
      <c r="I103" s="231">
        <f t="shared" si="14"/>
        <v>0</v>
      </c>
      <c r="J103" s="231">
        <f t="shared" si="14"/>
        <v>0</v>
      </c>
      <c r="K103" s="231">
        <f t="shared" si="14"/>
        <v>0</v>
      </c>
    </row>
    <row r="104" spans="1:11" ht="24" hidden="1">
      <c r="A104" s="814" t="s">
        <v>333</v>
      </c>
      <c r="B104" s="98" t="s">
        <v>115</v>
      </c>
      <c r="C104" s="206"/>
      <c r="D104" s="206"/>
      <c r="E104" s="206"/>
      <c r="F104" s="415">
        <v>4.1</v>
      </c>
      <c r="G104" s="206">
        <v>28000</v>
      </c>
      <c r="H104" s="206"/>
      <c r="I104" s="206"/>
      <c r="J104" s="206"/>
      <c r="K104" s="206"/>
    </row>
    <row r="105" spans="1:11" ht="14.25">
      <c r="A105" s="807" t="s">
        <v>277</v>
      </c>
      <c r="B105" s="713"/>
      <c r="C105" s="222">
        <v>0.565</v>
      </c>
      <c r="D105" s="222">
        <v>0</v>
      </c>
      <c r="E105" s="222">
        <v>8605.6</v>
      </c>
      <c r="F105" s="409">
        <f aca="true" t="shared" si="15" ref="F105:K105">SUM(F106:F108)</f>
        <v>0</v>
      </c>
      <c r="G105" s="222">
        <f t="shared" si="15"/>
        <v>0</v>
      </c>
      <c r="H105" s="222">
        <f t="shared" si="15"/>
        <v>0</v>
      </c>
      <c r="I105" s="222">
        <f t="shared" si="15"/>
        <v>0</v>
      </c>
      <c r="J105" s="222">
        <f t="shared" si="15"/>
        <v>0</v>
      </c>
      <c r="K105" s="222">
        <f t="shared" si="15"/>
        <v>0</v>
      </c>
    </row>
    <row r="106" spans="1:11" ht="12.75">
      <c r="A106" s="811" t="s">
        <v>319</v>
      </c>
      <c r="B106" s="709"/>
      <c r="C106" s="203">
        <v>0</v>
      </c>
      <c r="D106" s="203">
        <v>0</v>
      </c>
      <c r="E106" s="203">
        <v>1001</v>
      </c>
      <c r="F106" s="411"/>
      <c r="G106" s="203"/>
      <c r="H106" s="203"/>
      <c r="I106" s="203"/>
      <c r="J106" s="203"/>
      <c r="K106" s="203"/>
    </row>
    <row r="107" spans="1:11" ht="24" customHeight="1" hidden="1">
      <c r="A107" s="481" t="s">
        <v>153</v>
      </c>
      <c r="B107" s="838"/>
      <c r="C107" s="836">
        <v>0</v>
      </c>
      <c r="D107" s="836">
        <v>0</v>
      </c>
      <c r="E107" s="836"/>
      <c r="F107" s="839"/>
      <c r="G107" s="836"/>
      <c r="H107" s="836"/>
      <c r="I107" s="836"/>
      <c r="J107" s="836"/>
      <c r="K107" s="836"/>
    </row>
    <row r="108" spans="1:11" ht="17.25" customHeight="1">
      <c r="A108" s="814" t="s">
        <v>334</v>
      </c>
      <c r="B108" s="98" t="s">
        <v>115</v>
      </c>
      <c r="C108" s="206">
        <v>0.565</v>
      </c>
      <c r="D108" s="206">
        <v>0</v>
      </c>
      <c r="E108" s="206">
        <v>7604.6</v>
      </c>
      <c r="F108" s="415"/>
      <c r="G108" s="206"/>
      <c r="H108" s="206"/>
      <c r="I108" s="206"/>
      <c r="J108" s="206"/>
      <c r="K108" s="206"/>
    </row>
    <row r="109" spans="1:11" ht="14.25" hidden="1">
      <c r="A109" s="807" t="s">
        <v>280</v>
      </c>
      <c r="B109" s="126"/>
      <c r="C109" s="222">
        <v>0</v>
      </c>
      <c r="D109" s="222">
        <v>0</v>
      </c>
      <c r="E109" s="222">
        <v>0</v>
      </c>
      <c r="F109" s="409">
        <f aca="true" t="shared" si="16" ref="F109:K109">SUM(F110:F110)</f>
        <v>2.9</v>
      </c>
      <c r="G109" s="222">
        <f t="shared" si="16"/>
        <v>20000</v>
      </c>
      <c r="H109" s="222">
        <f t="shared" si="16"/>
        <v>0</v>
      </c>
      <c r="I109" s="222">
        <f t="shared" si="16"/>
        <v>0</v>
      </c>
      <c r="J109" s="222">
        <f t="shared" si="16"/>
        <v>0</v>
      </c>
      <c r="K109" s="222">
        <f t="shared" si="16"/>
        <v>0</v>
      </c>
    </row>
    <row r="110" spans="1:11" ht="12.75" hidden="1">
      <c r="A110" s="496" t="s">
        <v>335</v>
      </c>
      <c r="B110" s="91" t="s">
        <v>121</v>
      </c>
      <c r="C110" s="222"/>
      <c r="D110" s="222"/>
      <c r="E110" s="222"/>
      <c r="F110" s="431">
        <v>2.9</v>
      </c>
      <c r="G110" s="240">
        <f>60000-30000-10000</f>
        <v>20000</v>
      </c>
      <c r="H110" s="222"/>
      <c r="I110" s="240"/>
      <c r="J110" s="240"/>
      <c r="K110" s="222"/>
    </row>
    <row r="111" spans="1:11" ht="14.25" hidden="1">
      <c r="A111" s="466" t="s">
        <v>287</v>
      </c>
      <c r="B111" s="187"/>
      <c r="C111" s="227"/>
      <c r="D111" s="227"/>
      <c r="E111" s="227"/>
      <c r="F111" s="421">
        <f aca="true" t="shared" si="17" ref="F111:K111">F112</f>
        <v>2.58</v>
      </c>
      <c r="G111" s="231">
        <f t="shared" si="17"/>
        <v>18000</v>
      </c>
      <c r="H111" s="227">
        <f t="shared" si="17"/>
        <v>0</v>
      </c>
      <c r="I111" s="231">
        <f t="shared" si="17"/>
        <v>0</v>
      </c>
      <c r="J111" s="231">
        <f t="shared" si="17"/>
        <v>0</v>
      </c>
      <c r="K111" s="231">
        <f t="shared" si="17"/>
        <v>0</v>
      </c>
    </row>
    <row r="112" spans="1:11" ht="12.75" hidden="1">
      <c r="A112" s="823" t="s">
        <v>407</v>
      </c>
      <c r="B112" s="91" t="s">
        <v>121</v>
      </c>
      <c r="C112" s="227"/>
      <c r="D112" s="227"/>
      <c r="E112" s="227"/>
      <c r="F112" s="412">
        <v>2.58</v>
      </c>
      <c r="G112" s="227">
        <v>18000</v>
      </c>
      <c r="H112" s="227"/>
      <c r="I112" s="227"/>
      <c r="J112" s="227"/>
      <c r="K112" s="227"/>
    </row>
    <row r="113" spans="1:11" ht="14.25">
      <c r="A113" s="466" t="s">
        <v>290</v>
      </c>
      <c r="B113" s="187"/>
      <c r="C113" s="231">
        <v>0.3</v>
      </c>
      <c r="D113" s="231">
        <v>2030.3</v>
      </c>
      <c r="E113" s="231">
        <v>0</v>
      </c>
      <c r="F113" s="421">
        <f aca="true" t="shared" si="18" ref="F113:K113">SUM(F114:F116)</f>
        <v>3.9699999999999998</v>
      </c>
      <c r="G113" s="231">
        <f t="shared" si="18"/>
        <v>0</v>
      </c>
      <c r="H113" s="231">
        <f t="shared" si="18"/>
        <v>25897.9</v>
      </c>
      <c r="I113" s="231">
        <f t="shared" si="18"/>
        <v>0</v>
      </c>
      <c r="J113" s="231">
        <f t="shared" si="18"/>
        <v>0</v>
      </c>
      <c r="K113" s="231">
        <f t="shared" si="18"/>
        <v>0</v>
      </c>
    </row>
    <row r="114" spans="1:11" ht="12.75" hidden="1">
      <c r="A114" s="496" t="s">
        <v>336</v>
      </c>
      <c r="B114" s="95" t="s">
        <v>115</v>
      </c>
      <c r="C114" s="202"/>
      <c r="D114" s="202"/>
      <c r="E114" s="202"/>
      <c r="F114" s="413">
        <v>2.77</v>
      </c>
      <c r="G114" s="202"/>
      <c r="H114" s="202">
        <v>18000</v>
      </c>
      <c r="I114" s="202"/>
      <c r="J114" s="202"/>
      <c r="K114" s="202"/>
    </row>
    <row r="115" spans="1:11" ht="24">
      <c r="A115" s="481" t="s">
        <v>459</v>
      </c>
      <c r="B115" s="179"/>
      <c r="C115" s="830">
        <v>0.3</v>
      </c>
      <c r="D115" s="830">
        <v>2030.3</v>
      </c>
      <c r="E115" s="830"/>
      <c r="F115" s="831"/>
      <c r="G115" s="830"/>
      <c r="H115" s="830"/>
      <c r="I115" s="830"/>
      <c r="J115" s="830"/>
      <c r="K115" s="830"/>
    </row>
    <row r="116" spans="1:11" ht="12.75" hidden="1">
      <c r="A116" s="811" t="s">
        <v>337</v>
      </c>
      <c r="B116" s="97" t="s">
        <v>115</v>
      </c>
      <c r="C116" s="203"/>
      <c r="D116" s="203"/>
      <c r="E116" s="203"/>
      <c r="F116" s="411">
        <v>1.2</v>
      </c>
      <c r="G116" s="203"/>
      <c r="H116" s="203">
        <v>7897.9</v>
      </c>
      <c r="I116" s="203"/>
      <c r="J116" s="203"/>
      <c r="K116" s="203"/>
    </row>
    <row r="117" spans="1:11" ht="21" customHeight="1">
      <c r="A117" s="499" t="s">
        <v>130</v>
      </c>
      <c r="B117" s="689">
        <v>0</v>
      </c>
      <c r="C117" s="102">
        <f aca="true" t="shared" si="19" ref="C117:K117">C10+C20+C27+C34+C38+C43+C45+C51+C56+C59+C66+C77+C84+C91+C93+C103+C105+C109+C14+C18++C25+C61+C81+C41+C113+C111+C64</f>
        <v>162.729</v>
      </c>
      <c r="D117" s="102">
        <f t="shared" si="19"/>
        <v>493674</v>
      </c>
      <c r="E117" s="102">
        <f t="shared" si="19"/>
        <v>118481.60200000001</v>
      </c>
      <c r="F117" s="432">
        <f t="shared" si="19"/>
        <v>129.52</v>
      </c>
      <c r="G117" s="102">
        <f t="shared" si="19"/>
        <v>649278</v>
      </c>
      <c r="H117" s="102">
        <f t="shared" si="19"/>
        <v>217068.19999999998</v>
      </c>
      <c r="I117" s="102">
        <f t="shared" si="19"/>
        <v>90.96000000000001</v>
      </c>
      <c r="J117" s="102">
        <f t="shared" si="19"/>
        <v>445577.8</v>
      </c>
      <c r="K117" s="102">
        <f t="shared" si="19"/>
        <v>373512.00000000006</v>
      </c>
    </row>
    <row r="118" spans="1:11" ht="12" customHeight="1">
      <c r="A118" s="500" t="s">
        <v>293</v>
      </c>
      <c r="B118" s="735"/>
      <c r="C118" s="105"/>
      <c r="D118" s="105"/>
      <c r="E118" s="105"/>
      <c r="F118" s="433"/>
      <c r="G118" s="105"/>
      <c r="H118" s="105"/>
      <c r="I118" s="105"/>
      <c r="J118" s="105"/>
      <c r="K118" s="105"/>
    </row>
    <row r="119" spans="1:11" ht="12.75">
      <c r="A119" s="501" t="s">
        <v>132</v>
      </c>
      <c r="B119" s="736"/>
      <c r="C119" s="242"/>
      <c r="D119" s="243">
        <v>1500</v>
      </c>
      <c r="E119" s="243">
        <v>800</v>
      </c>
      <c r="F119" s="434"/>
      <c r="G119" s="243">
        <v>2000</v>
      </c>
      <c r="H119" s="243">
        <v>1000</v>
      </c>
      <c r="I119" s="242"/>
      <c r="J119" s="243">
        <v>1600</v>
      </c>
      <c r="K119" s="243">
        <v>800</v>
      </c>
    </row>
    <row r="120" spans="1:11" ht="12.75">
      <c r="A120" s="501" t="s">
        <v>142</v>
      </c>
      <c r="B120" s="824"/>
      <c r="C120" s="507"/>
      <c r="D120" s="506"/>
      <c r="E120" s="506"/>
      <c r="F120" s="505"/>
      <c r="G120" s="506"/>
      <c r="H120" s="506"/>
      <c r="I120" s="507"/>
      <c r="J120" s="506"/>
      <c r="K120" s="506"/>
    </row>
    <row r="121" spans="1:11" ht="12.75" hidden="1">
      <c r="A121" s="825" t="s">
        <v>338</v>
      </c>
      <c r="B121" s="738"/>
      <c r="C121" s="108"/>
      <c r="D121" s="108"/>
      <c r="E121" s="108"/>
      <c r="F121" s="435"/>
      <c r="G121" s="108"/>
      <c r="H121" s="108"/>
      <c r="I121" s="108"/>
      <c r="J121" s="108"/>
      <c r="K121" s="108"/>
    </row>
    <row r="122" spans="1:11" ht="18" customHeight="1" thickBot="1">
      <c r="A122" s="502" t="s">
        <v>339</v>
      </c>
      <c r="B122" s="826"/>
      <c r="C122" s="827">
        <f aca="true" t="shared" si="20" ref="C122:K122">SUM(C117:C121)</f>
        <v>162.729</v>
      </c>
      <c r="D122" s="828">
        <f t="shared" si="20"/>
        <v>495174</v>
      </c>
      <c r="E122" s="828">
        <f t="shared" si="20"/>
        <v>119281.60200000001</v>
      </c>
      <c r="F122" s="436">
        <f t="shared" si="20"/>
        <v>129.52</v>
      </c>
      <c r="G122" s="102">
        <f t="shared" si="20"/>
        <v>651278</v>
      </c>
      <c r="H122" s="102">
        <f t="shared" si="20"/>
        <v>218068.19999999998</v>
      </c>
      <c r="I122" s="244">
        <f t="shared" si="20"/>
        <v>90.96000000000001</v>
      </c>
      <c r="J122" s="102">
        <f t="shared" si="20"/>
        <v>447177.8</v>
      </c>
      <c r="K122" s="102">
        <f t="shared" si="20"/>
        <v>374312.00000000006</v>
      </c>
    </row>
    <row r="123" spans="1:11" ht="18" customHeight="1" hidden="1">
      <c r="A123" s="110"/>
      <c r="B123" s="740"/>
      <c r="C123" s="313"/>
      <c r="D123" s="112"/>
      <c r="E123" s="112"/>
      <c r="F123" s="313"/>
      <c r="G123" s="112"/>
      <c r="H123" s="112"/>
      <c r="I123" s="313"/>
      <c r="J123" s="112"/>
      <c r="K123" s="112"/>
    </row>
    <row r="124" spans="1:11" ht="18" customHeight="1" hidden="1">
      <c r="A124" s="311"/>
      <c r="B124" s="740"/>
      <c r="C124" s="313"/>
      <c r="D124" s="112"/>
      <c r="E124" s="112"/>
      <c r="F124" s="313"/>
      <c r="G124" s="112"/>
      <c r="H124" s="112"/>
      <c r="I124" s="313"/>
      <c r="J124" s="112"/>
      <c r="K124" s="112"/>
    </row>
    <row r="125" spans="1:11" ht="18" customHeight="1" hidden="1">
      <c r="A125" s="109"/>
      <c r="B125" s="740"/>
      <c r="C125" s="313"/>
      <c r="D125" s="112"/>
      <c r="E125" s="112"/>
      <c r="F125" s="313"/>
      <c r="G125" s="112"/>
      <c r="H125" s="112"/>
      <c r="I125" s="313"/>
      <c r="J125" s="112"/>
      <c r="K125" s="112"/>
    </row>
    <row r="126" spans="1:11" ht="18" customHeight="1" hidden="1">
      <c r="A126" s="311"/>
      <c r="B126" s="740"/>
      <c r="C126" s="313"/>
      <c r="D126" s="112"/>
      <c r="E126" s="112"/>
      <c r="F126" s="313"/>
      <c r="G126" s="112"/>
      <c r="H126" s="112"/>
      <c r="I126" s="313"/>
      <c r="J126" s="112"/>
      <c r="K126" s="112"/>
    </row>
    <row r="127" spans="1:11" ht="18" customHeight="1" hidden="1">
      <c r="A127" s="110"/>
      <c r="B127" s="740"/>
      <c r="C127" s="112"/>
      <c r="D127" s="112">
        <f>D122+E122</f>
        <v>614455.602</v>
      </c>
      <c r="E127" s="112"/>
      <c r="F127" s="112"/>
      <c r="G127" s="112">
        <f>G122+H122</f>
        <v>869346.2</v>
      </c>
      <c r="H127" s="112"/>
      <c r="I127" s="112"/>
      <c r="J127" s="1013">
        <f>J122+K122</f>
        <v>821489.8</v>
      </c>
      <c r="K127" s="112"/>
    </row>
    <row r="128" spans="1:11" ht="18" customHeight="1" hidden="1">
      <c r="A128" s="110"/>
      <c r="B128" s="740"/>
      <c r="C128" s="112"/>
      <c r="D128" s="112"/>
      <c r="E128" s="112">
        <f>D122+E122</f>
        <v>614455.602</v>
      </c>
      <c r="F128" s="112"/>
      <c r="G128" s="112"/>
      <c r="H128" s="112">
        <f>G122+H122</f>
        <v>869346.2</v>
      </c>
      <c r="I128" s="112"/>
      <c r="J128" s="112">
        <f>J122+K122</f>
        <v>821489.8</v>
      </c>
      <c r="K128" s="112"/>
    </row>
    <row r="129" spans="1:11" ht="18" customHeight="1" hidden="1">
      <c r="A129" s="110"/>
      <c r="B129" s="740"/>
      <c r="C129" s="112"/>
      <c r="D129" s="112">
        <f>E128-E129</f>
        <v>-58094.398000000045</v>
      </c>
      <c r="E129" s="112">
        <v>672550</v>
      </c>
      <c r="F129" s="112"/>
      <c r="G129" s="112">
        <f>H128-H129</f>
        <v>163796.19999999995</v>
      </c>
      <c r="H129" s="112">
        <v>705550</v>
      </c>
      <c r="I129" s="112"/>
      <c r="J129" s="112">
        <v>1492395.9</v>
      </c>
      <c r="K129" s="112">
        <f>J128-J129</f>
        <v>-670906.0999999999</v>
      </c>
    </row>
    <row r="130" spans="1:10" ht="12.75" hidden="1">
      <c r="A130" s="741" t="s">
        <v>299</v>
      </c>
      <c r="B130" s="742"/>
      <c r="C130" s="246" t="e">
        <f>#REF!+C29+#REF!+#REF!+#REF!+C50+C52+#REF!+#REF!+C69+#REF!+#REF!+C75+C80+C108+#REF!</f>
        <v>#REF!</v>
      </c>
      <c r="D130" s="245"/>
      <c r="E130" s="245"/>
      <c r="F130" s="246" t="e">
        <f>F23+F29+#REF!+F33+F44+F50+F52+#REF!+F69+F80+F108</f>
        <v>#REF!</v>
      </c>
      <c r="G130" s="245"/>
      <c r="H130" s="245"/>
      <c r="I130" s="246" t="e">
        <f>I12+#REF!+I15+I22+I23+I33+I37+#REF!+I44+I46+#REF!+I65+#REF!+#REF!+I69+#REF!+#REF!+#REF!+I100+I114+I116+#REF!</f>
        <v>#REF!</v>
      </c>
      <c r="J130" s="245"/>
    </row>
    <row r="131" spans="1:10" ht="15.75" hidden="1">
      <c r="A131" s="741"/>
      <c r="B131" s="741"/>
      <c r="C131" s="247" t="e">
        <f>C21+C24+#REF!+C39+C42+C48+#REF!+C54+C60+C68+C70+C78+#REF!+C90+C94+#REF!</f>
        <v>#REF!</v>
      </c>
      <c r="D131" s="743" t="e">
        <f>D122+E122-#REF!-#REF!</f>
        <v>#REF!</v>
      </c>
      <c r="E131" s="247"/>
      <c r="F131" s="247">
        <f>F11+F16+F21+F24+F36+F39+F48+F54+F55+F60+F68+F70+F71+F78+F90+F95+F104</f>
        <v>40.82</v>
      </c>
      <c r="G131" s="247"/>
      <c r="H131" s="247"/>
      <c r="I131" s="245">
        <f>I16+I24+I28+I35+I36+I39+I42+I47+I48+I53+I54+I55+I57+I60+I62+I67+I68+I70+I78+I83+I92+I95+I94+I104+I110+I112</f>
        <v>56.5</v>
      </c>
      <c r="J131" s="247"/>
    </row>
    <row r="132" spans="1:11" ht="15.75" hidden="1">
      <c r="A132" s="741"/>
      <c r="B132" s="741"/>
      <c r="C132" s="248"/>
      <c r="D132" s="247" t="e">
        <f>2437367-D131</f>
        <v>#REF!</v>
      </c>
      <c r="E132" s="248"/>
      <c r="F132" s="248"/>
      <c r="G132" s="248"/>
      <c r="H132" s="248"/>
      <c r="I132" s="248"/>
      <c r="J132" s="248">
        <v>289821.9</v>
      </c>
      <c r="K132" s="77">
        <v>774164.2</v>
      </c>
    </row>
    <row r="133" spans="1:11" ht="15.75" hidden="1">
      <c r="A133" s="741"/>
      <c r="B133" s="741"/>
      <c r="C133" s="248"/>
      <c r="D133" s="248"/>
      <c r="E133" s="248"/>
      <c r="F133" s="248"/>
      <c r="G133" s="248"/>
      <c r="H133" s="248"/>
      <c r="I133" s="248"/>
      <c r="J133" s="249">
        <f>J122+J132</f>
        <v>736999.7</v>
      </c>
      <c r="K133" s="215">
        <f>K122+K132</f>
        <v>1148476.2</v>
      </c>
    </row>
    <row r="134" spans="1:11" ht="15.75" hidden="1">
      <c r="A134" s="741"/>
      <c r="B134" s="741"/>
      <c r="C134" s="248"/>
      <c r="D134" s="249">
        <f>103728.8+D122</f>
        <v>598902.8</v>
      </c>
      <c r="E134" s="249">
        <f>466702.2+E122</f>
        <v>585983.802</v>
      </c>
      <c r="F134" s="248"/>
      <c r="G134" s="248">
        <v>424302.3</v>
      </c>
      <c r="H134" s="249">
        <f>H122+447649.7</f>
        <v>665717.9</v>
      </c>
      <c r="I134" s="248"/>
      <c r="J134" s="248" t="e">
        <f>J133*100/#REF!</f>
        <v>#REF!</v>
      </c>
      <c r="K134" s="77" t="e">
        <f>K133*100/#REF!</f>
        <v>#REF!</v>
      </c>
    </row>
    <row r="135" spans="1:10" ht="15.75" hidden="1">
      <c r="A135" s="741"/>
      <c r="B135" s="741"/>
      <c r="C135" s="248"/>
      <c r="D135" s="248" t="e">
        <f>D134*100/#REF!</f>
        <v>#REF!</v>
      </c>
      <c r="E135" s="248" t="e">
        <f>E134*100/#REF!</f>
        <v>#REF!</v>
      </c>
      <c r="F135" s="248"/>
      <c r="G135" s="248" t="e">
        <f>G134*100/#REF!</f>
        <v>#REF!</v>
      </c>
      <c r="H135" s="248" t="e">
        <f>H134*100/#REF!</f>
        <v>#REF!</v>
      </c>
      <c r="I135" s="248"/>
      <c r="J135" s="248"/>
    </row>
    <row r="136" spans="1:10" ht="15.75" hidden="1">
      <c r="A136" s="741"/>
      <c r="B136" s="741"/>
      <c r="C136" s="248"/>
      <c r="D136" s="248"/>
      <c r="E136" s="248"/>
      <c r="F136" s="248"/>
      <c r="G136" s="248"/>
      <c r="H136" s="248"/>
      <c r="I136" s="248"/>
      <c r="J136" s="248"/>
    </row>
    <row r="137" spans="1:10" ht="15.75" hidden="1">
      <c r="A137" s="741"/>
      <c r="B137" s="741"/>
      <c r="C137" s="248"/>
      <c r="D137" s="248"/>
      <c r="E137" s="248"/>
      <c r="F137" s="248"/>
      <c r="G137" s="248"/>
      <c r="H137" s="248"/>
      <c r="I137" s="248"/>
      <c r="J137" s="248"/>
    </row>
    <row r="138" spans="1:11" ht="15.75" hidden="1">
      <c r="A138" s="741"/>
      <c r="B138" s="741"/>
      <c r="C138" s="248"/>
      <c r="D138" s="248"/>
      <c r="E138" s="248"/>
      <c r="F138" s="248"/>
      <c r="G138" s="248"/>
      <c r="H138" s="248"/>
      <c r="I138" s="248"/>
      <c r="J138" s="249">
        <f>2556382-K122-'[1]т.6 к.рем. 2010-2012'!V154</f>
        <v>1233780</v>
      </c>
      <c r="K138" s="215">
        <f>2556382-J122-'[1]т.6 к.рем. 2010-2012'!U154</f>
        <v>1848518.1</v>
      </c>
    </row>
    <row r="139" spans="1:11" ht="15.75" hidden="1">
      <c r="A139" s="741"/>
      <c r="B139" s="741"/>
      <c r="C139" s="248"/>
      <c r="D139" s="248"/>
      <c r="E139" s="248"/>
      <c r="F139" s="248"/>
      <c r="G139" s="248"/>
      <c r="H139" s="248"/>
      <c r="I139" s="248"/>
      <c r="J139" s="216">
        <f>2556382-K139</f>
        <v>1056010</v>
      </c>
      <c r="K139" s="216">
        <v>1500372</v>
      </c>
    </row>
    <row r="140" spans="1:10" ht="15.75" hidden="1">
      <c r="A140" s="741"/>
      <c r="B140" s="741"/>
      <c r="C140" s="248"/>
      <c r="D140" s="248"/>
      <c r="E140" s="248"/>
      <c r="F140" s="248"/>
      <c r="G140" s="248"/>
      <c r="H140" s="248"/>
      <c r="I140" s="248"/>
      <c r="J140" s="248"/>
    </row>
    <row r="141" spans="1:11" ht="15.75" hidden="1">
      <c r="A141" s="741"/>
      <c r="B141" s="741"/>
      <c r="C141" s="248"/>
      <c r="D141" s="248"/>
      <c r="E141" s="248"/>
      <c r="F141" s="248"/>
      <c r="G141" s="248"/>
      <c r="H141" s="248"/>
      <c r="I141" s="248"/>
      <c r="J141" s="249">
        <f>J122+'[1]т.6 к.рем. 2010-2012'!U154</f>
        <v>707863.9</v>
      </c>
      <c r="K141" s="215">
        <f>K122+'[1]т.6 к.рем. 2010-2012'!V154</f>
        <v>1322602</v>
      </c>
    </row>
    <row r="142" spans="1:10" ht="15.75" hidden="1">
      <c r="A142" s="741"/>
      <c r="B142" s="741"/>
      <c r="C142" s="248"/>
      <c r="D142" s="248"/>
      <c r="E142" s="248"/>
      <c r="F142" s="248"/>
      <c r="G142" s="248"/>
      <c r="H142" s="248"/>
      <c r="I142" s="248"/>
      <c r="J142" s="248"/>
    </row>
    <row r="143" spans="1:11" ht="15.75" hidden="1">
      <c r="A143" s="741"/>
      <c r="B143" s="741"/>
      <c r="C143" s="248"/>
      <c r="D143" s="248"/>
      <c r="E143" s="248"/>
      <c r="F143" s="248"/>
      <c r="G143" s="248"/>
      <c r="H143" s="248"/>
      <c r="I143" s="248"/>
      <c r="J143" s="248"/>
      <c r="K143" s="215">
        <f>K139-K141</f>
        <v>177770</v>
      </c>
    </row>
    <row r="144" spans="1:10" ht="12.75" hidden="1">
      <c r="A144" s="744"/>
      <c r="B144" s="744"/>
      <c r="C144" s="77"/>
      <c r="D144" s="77"/>
      <c r="E144" s="77"/>
      <c r="J144" s="215">
        <f>J139-J141</f>
        <v>348146.1</v>
      </c>
    </row>
    <row r="145" spans="1:5" ht="12.75" hidden="1">
      <c r="A145" s="77"/>
      <c r="B145" s="77"/>
      <c r="C145" s="77"/>
      <c r="D145" s="77"/>
      <c r="E145" s="77"/>
    </row>
    <row r="146" spans="1:5" ht="12.75" hidden="1">
      <c r="A146" s="148" t="s">
        <v>296</v>
      </c>
      <c r="B146" s="77"/>
      <c r="C146" s="77"/>
      <c r="D146" s="77"/>
      <c r="E146" s="77"/>
    </row>
    <row r="147" spans="1:11" ht="12.75" hidden="1">
      <c r="A147" s="84" t="s">
        <v>6</v>
      </c>
      <c r="B147" s="84"/>
      <c r="C147" s="323">
        <f>C11+C16+C21+C24+C36+C39+C48+C54+C60+C67+C68+C70+C71+C78+C90+C95+C98</f>
        <v>51.352</v>
      </c>
      <c r="D147" s="323">
        <f>D11+D16+D21+D24+D36+D39+D48+D54+D60+D67+D68+D70+D71+D78+D90+D95+D98</f>
        <v>370351.10000000003</v>
      </c>
      <c r="E147" s="84"/>
      <c r="F147" s="323">
        <f>F16+F24+F26+F28+F35+F36+F39+F42+F47+F48+F53+F54+F55+F57+F60+F62+F67+F68+F70+F78+F83+F92+F94+F95+F104+F110+F112</f>
        <v>99.55</v>
      </c>
      <c r="G147" s="323">
        <f>G16+G24+G26+G28+G35+G36+G39+G42+G47+G48+G53+G54+G55+G57+G60+G62+G67+G68+G70+G78+G83+G92+G94+G95+G104+G110+G112</f>
        <v>649278</v>
      </c>
      <c r="H147" s="323"/>
      <c r="I147" s="323">
        <f>I16+I19+I24+I26+I42+I48+I55+I57+I62+I67+I68+I70+I83+I90+I95</f>
        <v>64.19999999999999</v>
      </c>
      <c r="J147" s="323">
        <f>J16+J19+J24+J26+J42+J48+J55+J57+J62+J67+J68+J70+J83+J90+J95</f>
        <v>436077.8</v>
      </c>
      <c r="K147" s="84"/>
    </row>
    <row r="148" spans="1:11" ht="12.75" hidden="1">
      <c r="A148" s="84" t="s">
        <v>8</v>
      </c>
      <c r="B148" s="84"/>
      <c r="C148" s="323" t="s">
        <v>417</v>
      </c>
      <c r="D148" s="323">
        <f>D106</f>
        <v>0</v>
      </c>
      <c r="E148" s="84"/>
      <c r="F148" s="84" t="s">
        <v>9</v>
      </c>
      <c r="G148" s="84"/>
      <c r="H148" s="323"/>
      <c r="I148" s="84" t="s">
        <v>11</v>
      </c>
      <c r="J148" s="323">
        <f>J31+J58+J85</f>
        <v>9500</v>
      </c>
      <c r="K148" s="84"/>
    </row>
    <row r="149" spans="1:11" ht="12.75" hidden="1">
      <c r="A149" s="84" t="s">
        <v>105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1:11" ht="12.75" hidden="1">
      <c r="A150" s="84" t="s">
        <v>10</v>
      </c>
      <c r="B150" s="84"/>
      <c r="C150" s="323"/>
      <c r="D150" s="323">
        <f>D10+D14+D20+D25+D27+D34+D38+D41+D43+D45+D51+D56+D59+D61+D64+D66+D77+D81+D84+D91+D93+D103+D105+D109+D111+D113</f>
        <v>484673.99999999994</v>
      </c>
      <c r="E150" s="84"/>
      <c r="F150" s="84"/>
      <c r="G150" s="323">
        <f>G10+G14+G20+G25+G27+G34+G38+G41+G43+G45+G51+G56+G59+G61+G64+G66+G77+G81+G84+G91+G93+G103+G105+G109+G111+G113</f>
        <v>649278</v>
      </c>
      <c r="H150" s="84"/>
      <c r="I150" s="84"/>
      <c r="J150" s="323">
        <f>J10+J14+J18+J20+J25+J27+J34+J38+J41+J43+J45+J51+J56+J59+J61+J64+J66+J77+J81+J84+J91+J93+J103+J105+J109+J111+J113</f>
        <v>445577.80000000005</v>
      </c>
      <c r="K150" s="84"/>
    </row>
    <row r="151" spans="1:11" ht="12.75" hidden="1">
      <c r="A151" s="84" t="s">
        <v>7</v>
      </c>
      <c r="B151" s="84"/>
      <c r="C151" s="323">
        <f>C23+C29+C44+C50+C52+C69+C76+C80+C108</f>
        <v>9.42</v>
      </c>
      <c r="D151" s="84"/>
      <c r="E151" s="323">
        <f>E23+E29+E44+E50+E52+E69+E76+E80+E108</f>
        <v>115480.60200000001</v>
      </c>
      <c r="F151" s="323">
        <f>F12+F15+F23+F33+F37+F44+F46+F65+F69+F82+F100+F114+F116</f>
        <v>29.97</v>
      </c>
      <c r="G151" s="84"/>
      <c r="H151" s="323">
        <f>H12+H15+H23+H33+H37+H44+H46+H65+H69+H82+H100+H114+H116</f>
        <v>212068.19999999998</v>
      </c>
      <c r="I151" s="323">
        <f>I13+I22+I30+I32+I40+I44+I46+I52+I63+I75+I80+I82+I101+I102</f>
        <v>26.759999999999994</v>
      </c>
      <c r="J151" s="84"/>
      <c r="K151" s="323">
        <f>K13+K22+K30+K32+K40+K44+K46+K52+K63+K75+K80+K82+K101+K102</f>
        <v>221012</v>
      </c>
    </row>
    <row r="152" spans="1:11" ht="12.75" hidden="1">
      <c r="A152" s="84" t="s">
        <v>8</v>
      </c>
      <c r="B152" s="84"/>
      <c r="C152" s="84"/>
      <c r="D152" s="84"/>
      <c r="E152" s="84"/>
      <c r="F152" s="84" t="s">
        <v>9</v>
      </c>
      <c r="G152" s="84"/>
      <c r="H152" s="323">
        <f>H85</f>
        <v>5000</v>
      </c>
      <c r="I152" s="84" t="s">
        <v>417</v>
      </c>
      <c r="J152" s="84"/>
      <c r="K152" s="323">
        <f>K31</f>
        <v>2500</v>
      </c>
    </row>
    <row r="153" spans="1:11" ht="12.75" hidden="1">
      <c r="A153" s="84" t="s">
        <v>105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1:11" ht="12.75" hidden="1">
      <c r="A154" s="84" t="s">
        <v>10</v>
      </c>
      <c r="B154" s="84"/>
      <c r="C154" s="323">
        <f>C10+C14+C18+C20+C25+C27+C34+C38+C41+C43+C45+C51+C56+C59+C64+C61+C66+C77+C81+C84+C91+C93+C103+C105+C109+C111+C113</f>
        <v>162.729</v>
      </c>
      <c r="D154" s="323">
        <f>D10+D14+D18+D20+D25+D27+D34+D38+D41+D43+D45+D51+D56+D59+D64+D61+D66+D77+D81+D84+D91+D93+D103+D105+D109+D111+D113</f>
        <v>493673.99999999994</v>
      </c>
      <c r="E154" s="323">
        <f>E10+E14+E18+E20+E25+E27+E34+E38+E41+E43+E45+E51+E56+E59+E64+E61+E66+E77+E81+E84+E91+E93+E103+E105+E109+E111+E113</f>
        <v>118481.60200000001</v>
      </c>
      <c r="F154" s="323">
        <f aca="true" t="shared" si="21" ref="F154:K154">F10+F14+F18+F20+F25+F27+F34+F38+F41+F43+F45+F51+F56+F59+F64+F61+F66+F77+F81+F84+F91+F93+F103+F105+F109+F111+F113</f>
        <v>129.52</v>
      </c>
      <c r="G154" s="323">
        <f t="shared" si="21"/>
        <v>649278</v>
      </c>
      <c r="H154" s="323">
        <f t="shared" si="21"/>
        <v>217068.19999999998</v>
      </c>
      <c r="I154" s="323">
        <f>I10+I14+I18+I20+I25+I27+I34+I38+I41+I43+I45+I51+I56+I59+I64+I61+I66+I77+I81+I84+I91+I93+I103+I105+I109+I111+I113</f>
        <v>90.96</v>
      </c>
      <c r="J154" s="323">
        <f t="shared" si="21"/>
        <v>445577.80000000005</v>
      </c>
      <c r="K154" s="323">
        <f t="shared" si="21"/>
        <v>373512.00000000006</v>
      </c>
    </row>
    <row r="155" spans="1:5" ht="12.75" hidden="1">
      <c r="A155" s="77"/>
      <c r="B155" s="77"/>
      <c r="C155" s="77"/>
      <c r="D155" s="215">
        <f>D122+E122-E76</f>
        <v>584455.602</v>
      </c>
      <c r="E155" s="77"/>
    </row>
    <row r="156" spans="1:5" ht="12.75">
      <c r="A156" s="77"/>
      <c r="B156" s="77"/>
      <c r="C156" s="77"/>
      <c r="D156" s="77"/>
      <c r="E156" s="215"/>
    </row>
    <row r="157" spans="1:5" ht="12.75">
      <c r="A157" s="77"/>
      <c r="B157" s="77"/>
      <c r="C157" s="77"/>
      <c r="D157" s="77"/>
      <c r="E157" s="77"/>
    </row>
    <row r="158" spans="1:5" ht="12.75">
      <c r="A158" s="77"/>
      <c r="B158" s="77"/>
      <c r="C158" s="77"/>
      <c r="D158" s="77"/>
      <c r="E158" s="77"/>
    </row>
    <row r="159" spans="1:5" ht="12.75">
      <c r="A159" s="77"/>
      <c r="B159" s="77"/>
      <c r="C159" s="77"/>
      <c r="D159" s="77"/>
      <c r="E159" s="77"/>
    </row>
    <row r="160" spans="1:5" ht="12.75">
      <c r="A160" s="77"/>
      <c r="B160" s="77"/>
      <c r="C160" s="77"/>
      <c r="D160" s="77"/>
      <c r="E160" s="77"/>
    </row>
    <row r="161" spans="1:5" ht="12.75">
      <c r="A161" s="77"/>
      <c r="B161" s="77"/>
      <c r="C161" s="77"/>
      <c r="D161" s="77"/>
      <c r="E161" s="77"/>
    </row>
    <row r="162" spans="1:5" ht="12.75">
      <c r="A162" s="77"/>
      <c r="B162" s="77"/>
      <c r="C162" s="77"/>
      <c r="D162" s="77"/>
      <c r="E162" s="77"/>
    </row>
    <row r="163" spans="1:5" ht="12.75">
      <c r="A163" s="77"/>
      <c r="B163" s="77"/>
      <c r="C163" s="77"/>
      <c r="D163" s="77"/>
      <c r="E163" s="77"/>
    </row>
    <row r="164" spans="1:5" ht="12.75">
      <c r="A164" s="77"/>
      <c r="B164" s="77"/>
      <c r="C164" s="77"/>
      <c r="D164" s="77"/>
      <c r="E164" s="77"/>
    </row>
    <row r="165" spans="1:5" ht="12.75">
      <c r="A165" s="77"/>
      <c r="B165" s="77"/>
      <c r="C165" s="77"/>
      <c r="D165" s="77"/>
      <c r="E165" s="77"/>
    </row>
    <row r="166" spans="1:5" ht="12.75">
      <c r="A166" s="77"/>
      <c r="B166" s="77"/>
      <c r="C166" s="77"/>
      <c r="D166" s="77"/>
      <c r="E166" s="77"/>
    </row>
    <row r="167" spans="1:5" ht="12.75">
      <c r="A167" s="77"/>
      <c r="B167" s="77"/>
      <c r="C167" s="77"/>
      <c r="D167" s="77"/>
      <c r="E167" s="77"/>
    </row>
    <row r="168" spans="1:5" ht="12.75">
      <c r="A168" s="77"/>
      <c r="B168" s="77"/>
      <c r="C168" s="77"/>
      <c r="D168" s="77"/>
      <c r="E168" s="77"/>
    </row>
    <row r="169" spans="1:5" ht="12.75">
      <c r="A169" s="77"/>
      <c r="B169" s="77"/>
      <c r="C169" s="77"/>
      <c r="D169" s="77"/>
      <c r="E169" s="77"/>
    </row>
    <row r="170" spans="1:5" ht="12.75">
      <c r="A170" s="77"/>
      <c r="B170" s="77"/>
      <c r="C170" s="77"/>
      <c r="D170" s="77"/>
      <c r="E170" s="77"/>
    </row>
    <row r="171" spans="1:5" ht="12.75">
      <c r="A171" s="77"/>
      <c r="B171" s="77"/>
      <c r="C171" s="77"/>
      <c r="D171" s="77"/>
      <c r="E171" s="77"/>
    </row>
    <row r="172" spans="1:5" ht="12.75">
      <c r="A172" s="77"/>
      <c r="B172" s="77"/>
      <c r="C172" s="77"/>
      <c r="D172" s="77"/>
      <c r="E172" s="77"/>
    </row>
    <row r="173" spans="1:5" ht="12.75">
      <c r="A173" s="77"/>
      <c r="B173" s="77"/>
      <c r="C173" s="77"/>
      <c r="D173" s="77"/>
      <c r="E173" s="77"/>
    </row>
    <row r="174" spans="1:5" ht="12.75">
      <c r="A174" s="77"/>
      <c r="B174" s="77"/>
      <c r="C174" s="77"/>
      <c r="D174" s="77"/>
      <c r="E174" s="77"/>
    </row>
    <row r="175" spans="1:5" ht="12.75">
      <c r="A175" s="77"/>
      <c r="B175" s="77"/>
      <c r="C175" s="77"/>
      <c r="D175" s="77"/>
      <c r="E175" s="77"/>
    </row>
    <row r="176" spans="1:5" ht="12.75">
      <c r="A176" s="77"/>
      <c r="B176" s="77"/>
      <c r="C176" s="77"/>
      <c r="D176" s="77"/>
      <c r="E176" s="77"/>
    </row>
    <row r="177" spans="1:5" ht="12.75">
      <c r="A177" s="77"/>
      <c r="B177" s="77"/>
      <c r="C177" s="77"/>
      <c r="D177" s="77"/>
      <c r="E177" s="77"/>
    </row>
    <row r="178" spans="1:5" ht="12.75">
      <c r="A178" s="77"/>
      <c r="B178" s="77"/>
      <c r="C178" s="77"/>
      <c r="D178" s="77"/>
      <c r="E178" s="77"/>
    </row>
    <row r="179" spans="1:5" ht="12.75">
      <c r="A179" s="77"/>
      <c r="B179" s="77"/>
      <c r="C179" s="77"/>
      <c r="D179" s="77"/>
      <c r="E179" s="77"/>
    </row>
    <row r="180" spans="1:5" ht="12.75">
      <c r="A180" s="77"/>
      <c r="B180" s="77"/>
      <c r="C180" s="77"/>
      <c r="D180" s="77"/>
      <c r="E180" s="77"/>
    </row>
    <row r="181" spans="1:5" ht="12.75">
      <c r="A181" s="77"/>
      <c r="B181" s="77"/>
      <c r="C181" s="77"/>
      <c r="D181" s="77"/>
      <c r="E181" s="77"/>
    </row>
    <row r="182" spans="1:5" ht="12.75">
      <c r="A182" s="77"/>
      <c r="B182" s="77"/>
      <c r="C182" s="77"/>
      <c r="D182" s="77"/>
      <c r="E182" s="77"/>
    </row>
    <row r="183" spans="1:5" ht="12.75">
      <c r="A183" s="77"/>
      <c r="B183" s="77"/>
      <c r="C183" s="77"/>
      <c r="D183" s="77"/>
      <c r="E183" s="77"/>
    </row>
    <row r="184" spans="1:5" ht="12.75">
      <c r="A184" s="77"/>
      <c r="B184" s="77"/>
      <c r="C184" s="77"/>
      <c r="D184" s="77"/>
      <c r="E184" s="77"/>
    </row>
    <row r="185" spans="1:5" ht="12.75">
      <c r="A185" s="77"/>
      <c r="B185" s="77"/>
      <c r="C185" s="77"/>
      <c r="D185" s="77"/>
      <c r="E185" s="77"/>
    </row>
    <row r="186" spans="1:5" ht="12.75">
      <c r="A186" s="77"/>
      <c r="B186" s="77"/>
      <c r="C186" s="77"/>
      <c r="D186" s="77"/>
      <c r="E186" s="77"/>
    </row>
    <row r="187" spans="1:5" ht="12.75">
      <c r="A187" s="77"/>
      <c r="B187" s="77"/>
      <c r="C187" s="77"/>
      <c r="D187" s="77"/>
      <c r="E187" s="77"/>
    </row>
    <row r="188" spans="1:5" ht="12.75">
      <c r="A188" s="77"/>
      <c r="B188" s="77"/>
      <c r="C188" s="77"/>
      <c r="D188" s="77"/>
      <c r="E188" s="77"/>
    </row>
    <row r="189" spans="1:5" ht="12.75">
      <c r="A189" s="77"/>
      <c r="B189" s="77"/>
      <c r="C189" s="77"/>
      <c r="D189" s="77"/>
      <c r="E189" s="77"/>
    </row>
    <row r="190" spans="1:5" ht="12.75">
      <c r="A190" s="77"/>
      <c r="B190" s="77"/>
      <c r="C190" s="77"/>
      <c r="D190" s="77"/>
      <c r="E190" s="77"/>
    </row>
    <row r="191" spans="1:5" ht="12.75">
      <c r="A191" s="77"/>
      <c r="B191" s="77"/>
      <c r="C191" s="77"/>
      <c r="D191" s="77"/>
      <c r="E191" s="77"/>
    </row>
    <row r="192" spans="1:5" ht="12.75">
      <c r="A192" s="77"/>
      <c r="B192" s="77"/>
      <c r="C192" s="77"/>
      <c r="D192" s="77"/>
      <c r="E192" s="77"/>
    </row>
    <row r="193" spans="1:5" ht="12.75">
      <c r="A193" s="77"/>
      <c r="B193" s="77"/>
      <c r="C193" s="77"/>
      <c r="D193" s="77"/>
      <c r="E193" s="77"/>
    </row>
    <row r="194" spans="1:5" ht="12.75">
      <c r="A194" s="77"/>
      <c r="B194" s="77"/>
      <c r="C194" s="77"/>
      <c r="D194" s="77"/>
      <c r="E194" s="77"/>
    </row>
    <row r="195" spans="1:5" ht="12.75">
      <c r="A195" s="77"/>
      <c r="B195" s="77"/>
      <c r="C195" s="77"/>
      <c r="D195" s="77"/>
      <c r="E195" s="77"/>
    </row>
    <row r="196" spans="1:5" ht="12.75">
      <c r="A196" s="77"/>
      <c r="B196" s="77"/>
      <c r="C196" s="77"/>
      <c r="D196" s="77"/>
      <c r="E196" s="77"/>
    </row>
    <row r="197" spans="1:5" ht="12.75">
      <c r="A197" s="77"/>
      <c r="B197" s="77"/>
      <c r="C197" s="77"/>
      <c r="D197" s="77"/>
      <c r="E197" s="77"/>
    </row>
    <row r="198" spans="1:5" ht="12.75">
      <c r="A198" s="77"/>
      <c r="B198" s="77"/>
      <c r="C198" s="77"/>
      <c r="D198" s="77"/>
      <c r="E198" s="77"/>
    </row>
    <row r="199" spans="1:5" ht="12.75">
      <c r="A199" s="77"/>
      <c r="B199" s="77"/>
      <c r="C199" s="77"/>
      <c r="D199" s="77"/>
      <c r="E199" s="77"/>
    </row>
    <row r="200" spans="1:5" ht="12.75">
      <c r="A200" s="77"/>
      <c r="B200" s="77"/>
      <c r="C200" s="77"/>
      <c r="D200" s="77"/>
      <c r="E200" s="77"/>
    </row>
    <row r="201" spans="1:5" ht="12.75">
      <c r="A201" s="77"/>
      <c r="B201" s="77"/>
      <c r="C201" s="77"/>
      <c r="D201" s="77"/>
      <c r="E201" s="77"/>
    </row>
    <row r="202" spans="1:5" ht="12.75">
      <c r="A202" s="77"/>
      <c r="B202" s="77"/>
      <c r="C202" s="77"/>
      <c r="D202" s="77"/>
      <c r="E202" s="77"/>
    </row>
    <row r="203" spans="1:5" ht="12.75">
      <c r="A203" s="77"/>
      <c r="B203" s="77"/>
      <c r="C203" s="77"/>
      <c r="D203" s="77"/>
      <c r="E203" s="77"/>
    </row>
    <row r="204" spans="1:5" ht="12.75">
      <c r="A204" s="77"/>
      <c r="B204" s="77"/>
      <c r="C204" s="77"/>
      <c r="D204" s="77"/>
      <c r="E204" s="77"/>
    </row>
    <row r="205" spans="1:5" ht="12.75">
      <c r="A205" s="77"/>
      <c r="B205" s="77"/>
      <c r="C205" s="77"/>
      <c r="D205" s="77"/>
      <c r="E205" s="77"/>
    </row>
    <row r="206" spans="1:5" ht="12.75">
      <c r="A206" s="77"/>
      <c r="B206" s="77"/>
      <c r="C206" s="77"/>
      <c r="D206" s="77"/>
      <c r="E206" s="77"/>
    </row>
    <row r="207" spans="1:5" ht="12.75">
      <c r="A207" s="77"/>
      <c r="B207" s="77"/>
      <c r="C207" s="77"/>
      <c r="D207" s="77"/>
      <c r="E207" s="77"/>
    </row>
    <row r="208" spans="1:5" ht="12.75">
      <c r="A208" s="77"/>
      <c r="B208" s="77"/>
      <c r="C208" s="77"/>
      <c r="D208" s="77"/>
      <c r="E208" s="77"/>
    </row>
    <row r="209" spans="1:5" ht="12.75">
      <c r="A209" s="77"/>
      <c r="B209" s="77"/>
      <c r="C209" s="77"/>
      <c r="D209" s="77"/>
      <c r="E209" s="77"/>
    </row>
    <row r="210" spans="1:5" ht="12.75">
      <c r="A210" s="77"/>
      <c r="B210" s="77"/>
      <c r="C210" s="77"/>
      <c r="D210" s="77"/>
      <c r="E210" s="77"/>
    </row>
    <row r="211" spans="1:5" ht="12.75">
      <c r="A211" s="77"/>
      <c r="B211" s="77"/>
      <c r="C211" s="77"/>
      <c r="D211" s="77"/>
      <c r="E211" s="77"/>
    </row>
    <row r="212" spans="1:5" ht="12.75">
      <c r="A212" s="77"/>
      <c r="B212" s="77"/>
      <c r="C212" s="77"/>
      <c r="D212" s="77"/>
      <c r="E212" s="77"/>
    </row>
    <row r="213" spans="1:5" ht="12.75">
      <c r="A213" s="77"/>
      <c r="B213" s="77"/>
      <c r="C213" s="77"/>
      <c r="D213" s="77"/>
      <c r="E213" s="77"/>
    </row>
    <row r="214" spans="1:5" ht="12.75">
      <c r="A214" s="77"/>
      <c r="B214" s="77"/>
      <c r="C214" s="77"/>
      <c r="D214" s="77"/>
      <c r="E214" s="77"/>
    </row>
    <row r="215" spans="1:5" ht="12.75">
      <c r="A215" s="77"/>
      <c r="B215" s="77"/>
      <c r="C215" s="77"/>
      <c r="D215" s="77"/>
      <c r="E215" s="77"/>
    </row>
    <row r="216" spans="1:5" ht="12.75">
      <c r="A216" s="77"/>
      <c r="B216" s="77"/>
      <c r="C216" s="77"/>
      <c r="D216" s="77"/>
      <c r="E216" s="77"/>
    </row>
    <row r="217" spans="1:5" ht="12.75">
      <c r="A217" s="77"/>
      <c r="B217" s="77"/>
      <c r="C217" s="77"/>
      <c r="D217" s="77"/>
      <c r="E217" s="77"/>
    </row>
    <row r="218" spans="1:5" ht="12.75">
      <c r="A218" s="77"/>
      <c r="B218" s="77"/>
      <c r="C218" s="77"/>
      <c r="D218" s="77"/>
      <c r="E218" s="77"/>
    </row>
    <row r="219" spans="1:5" ht="12.75">
      <c r="A219" s="77"/>
      <c r="B219" s="77"/>
      <c r="C219" s="77"/>
      <c r="D219" s="77"/>
      <c r="E219" s="77"/>
    </row>
    <row r="220" spans="1:5" ht="12.75">
      <c r="A220" s="77"/>
      <c r="B220" s="77"/>
      <c r="C220" s="77"/>
      <c r="D220" s="77"/>
      <c r="E220" s="77"/>
    </row>
    <row r="221" spans="1:5" ht="12.75">
      <c r="A221" s="77"/>
      <c r="B221" s="77"/>
      <c r="C221" s="77"/>
      <c r="D221" s="77"/>
      <c r="E221" s="77"/>
    </row>
    <row r="222" spans="1:5" ht="12.75">
      <c r="A222" s="77"/>
      <c r="B222" s="77"/>
      <c r="C222" s="77"/>
      <c r="D222" s="77"/>
      <c r="E222" s="77"/>
    </row>
    <row r="223" spans="1:5" ht="12.75">
      <c r="A223" s="77"/>
      <c r="B223" s="77"/>
      <c r="C223" s="77"/>
      <c r="D223" s="77"/>
      <c r="E223" s="77"/>
    </row>
    <row r="224" spans="1:5" ht="12.75">
      <c r="A224" s="77"/>
      <c r="B224" s="77"/>
      <c r="C224" s="77"/>
      <c r="D224" s="77"/>
      <c r="E224" s="77"/>
    </row>
    <row r="225" spans="1:5" ht="12.75">
      <c r="A225" s="77"/>
      <c r="B225" s="77"/>
      <c r="C225" s="77"/>
      <c r="D225" s="77"/>
      <c r="E225" s="77"/>
    </row>
    <row r="226" spans="1:5" ht="12.75">
      <c r="A226" s="77"/>
      <c r="B226" s="77"/>
      <c r="C226" s="77"/>
      <c r="D226" s="77"/>
      <c r="E226" s="77"/>
    </row>
    <row r="227" spans="1:5" ht="12.75">
      <c r="A227" s="77"/>
      <c r="B227" s="77"/>
      <c r="C227" s="77"/>
      <c r="D227" s="77"/>
      <c r="E227" s="77"/>
    </row>
    <row r="228" spans="1:5" ht="12.75">
      <c r="A228" s="77"/>
      <c r="B228" s="77"/>
      <c r="C228" s="77"/>
      <c r="D228" s="77"/>
      <c r="E228" s="77"/>
    </row>
    <row r="229" spans="1:5" ht="12.75">
      <c r="A229" s="77"/>
      <c r="B229" s="77"/>
      <c r="C229" s="77"/>
      <c r="D229" s="77"/>
      <c r="E229" s="77"/>
    </row>
    <row r="230" spans="1:5" ht="12.75">
      <c r="A230" s="77"/>
      <c r="B230" s="77"/>
      <c r="C230" s="77"/>
      <c r="D230" s="77"/>
      <c r="E230" s="77"/>
    </row>
    <row r="231" spans="1:5" ht="12.75">
      <c r="A231" s="77"/>
      <c r="B231" s="77"/>
      <c r="C231" s="77"/>
      <c r="D231" s="77"/>
      <c r="E231" s="77"/>
    </row>
    <row r="232" spans="1:5" ht="12.75">
      <c r="A232" s="77"/>
      <c r="B232" s="77"/>
      <c r="C232" s="77"/>
      <c r="D232" s="77"/>
      <c r="E232" s="77"/>
    </row>
    <row r="233" spans="1:5" ht="12.75">
      <c r="A233" s="77"/>
      <c r="B233" s="77"/>
      <c r="C233" s="77"/>
      <c r="D233" s="77"/>
      <c r="E233" s="77"/>
    </row>
    <row r="234" spans="1:5" ht="12.75">
      <c r="A234" s="77"/>
      <c r="B234" s="77"/>
      <c r="C234" s="77"/>
      <c r="D234" s="77"/>
      <c r="E234" s="77"/>
    </row>
    <row r="235" spans="1:5" ht="12.75">
      <c r="A235" s="77"/>
      <c r="B235" s="77"/>
      <c r="C235" s="77"/>
      <c r="D235" s="77"/>
      <c r="E235" s="77"/>
    </row>
    <row r="236" spans="1:5" ht="12.75">
      <c r="A236" s="77"/>
      <c r="B236" s="77"/>
      <c r="C236" s="77"/>
      <c r="D236" s="77"/>
      <c r="E236" s="77"/>
    </row>
    <row r="237" spans="1:5" ht="12.75">
      <c r="A237" s="77"/>
      <c r="B237" s="77"/>
      <c r="C237" s="77"/>
      <c r="D237" s="77"/>
      <c r="E237" s="77"/>
    </row>
    <row r="238" spans="1:5" ht="12.75">
      <c r="A238" s="77"/>
      <c r="B238" s="77"/>
      <c r="C238" s="77"/>
      <c r="D238" s="77"/>
      <c r="E238" s="77"/>
    </row>
    <row r="239" spans="1:5" ht="12.75">
      <c r="A239" s="77"/>
      <c r="B239" s="77"/>
      <c r="C239" s="77"/>
      <c r="D239" s="77"/>
      <c r="E239" s="77"/>
    </row>
    <row r="240" spans="1:5" ht="12.75">
      <c r="A240" s="77"/>
      <c r="B240" s="77"/>
      <c r="C240" s="77"/>
      <c r="D240" s="77"/>
      <c r="E240" s="77"/>
    </row>
    <row r="241" spans="1:5" ht="12.75">
      <c r="A241" s="77"/>
      <c r="B241" s="77"/>
      <c r="C241" s="77"/>
      <c r="D241" s="77"/>
      <c r="E241" s="77"/>
    </row>
    <row r="242" spans="1:5" ht="12.75">
      <c r="A242" s="77"/>
      <c r="B242" s="77"/>
      <c r="C242" s="77"/>
      <c r="D242" s="77"/>
      <c r="E242" s="77"/>
    </row>
    <row r="243" spans="1:5" ht="12.75">
      <c r="A243" s="77"/>
      <c r="B243" s="77"/>
      <c r="C243" s="77"/>
      <c r="D243" s="77"/>
      <c r="E243" s="77"/>
    </row>
    <row r="244" spans="1:5" ht="12.75">
      <c r="A244" s="77"/>
      <c r="B244" s="77"/>
      <c r="C244" s="77"/>
      <c r="D244" s="77"/>
      <c r="E244" s="77"/>
    </row>
    <row r="245" spans="1:5" ht="12.75">
      <c r="A245" s="77"/>
      <c r="B245" s="77"/>
      <c r="C245" s="77"/>
      <c r="D245" s="77"/>
      <c r="E245" s="77"/>
    </row>
    <row r="246" spans="1:5" ht="12.75">
      <c r="A246" s="77"/>
      <c r="B246" s="77"/>
      <c r="C246" s="77"/>
      <c r="D246" s="77"/>
      <c r="E246" s="77"/>
    </row>
    <row r="247" spans="1:5" ht="12.75">
      <c r="A247" s="77"/>
      <c r="B247" s="77"/>
      <c r="C247" s="77"/>
      <c r="D247" s="77"/>
      <c r="E247" s="77"/>
    </row>
    <row r="248" spans="1:5" ht="12.75">
      <c r="A248" s="77"/>
      <c r="B248" s="77"/>
      <c r="C248" s="77"/>
      <c r="D248" s="77"/>
      <c r="E248" s="77"/>
    </row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</sheetData>
  <sheetProtection/>
  <mergeCells count="6">
    <mergeCell ref="A5:K5"/>
    <mergeCell ref="F7:H7"/>
    <mergeCell ref="I7:K7"/>
    <mergeCell ref="A7:A9"/>
    <mergeCell ref="B7:B9"/>
    <mergeCell ref="C7:E7"/>
  </mergeCells>
  <conditionalFormatting sqref="B10:K129">
    <cfRule type="cellIs" priority="1" dxfId="0" operator="equal" stopIfTrue="1">
      <formula>0</formula>
    </cfRule>
  </conditionalFormatting>
  <printOptions horizontalCentered="1"/>
  <pageMargins left="0.1968503937007874" right="0.1968503937007874" top="0.2362204724409449" bottom="0.1968503937007874" header="0.31496062992125984" footer="0.5118110236220472"/>
  <pageSetup fitToHeight="8" fitToWidth="1" horizontalDpi="600" verticalDpi="600" orientation="portrait" paperSize="9" scale="60" r:id="rId3"/>
  <rowBreaks count="1" manualBreakCount="1">
    <brk id="53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Маркова</dc:creator>
  <cp:keywords/>
  <dc:description/>
  <cp:lastModifiedBy>1</cp:lastModifiedBy>
  <cp:lastPrinted>2012-05-03T01:55:48Z</cp:lastPrinted>
  <dcterms:created xsi:type="dcterms:W3CDTF">2008-08-29T02:52:55Z</dcterms:created>
  <dcterms:modified xsi:type="dcterms:W3CDTF">2012-05-03T02:01:32Z</dcterms:modified>
  <cp:category/>
  <cp:version/>
  <cp:contentType/>
  <cp:contentStatus/>
</cp:coreProperties>
</file>